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5" yWindow="60" windowWidth="24240" windowHeight="12180" tabRatio="684" activeTab="2"/>
  </bookViews>
  <sheets>
    <sheet name="Nutrient Load Reductions" sheetId="9" r:id="rId1"/>
    <sheet name="Load Reduction Calculations" sheetId="8" r:id="rId2"/>
    <sheet name="Individual Properties 2015" sheetId="1" r:id="rId3"/>
  </sheets>
  <calcPr calcId="125725"/>
</workbook>
</file>

<file path=xl/calcChain.xml><?xml version="1.0" encoding="utf-8"?>
<calcChain xmlns="http://schemas.openxmlformats.org/spreadsheetml/2006/main">
  <c r="B149" i="1"/>
  <c r="C9" i="9"/>
  <c r="D9" s="1"/>
  <c r="D148" i="1"/>
  <c r="D149" s="1"/>
  <c r="J148"/>
  <c r="K148"/>
  <c r="Q148"/>
  <c r="R148"/>
  <c r="C148"/>
  <c r="B7" i="9"/>
  <c r="U146" i="1"/>
  <c r="T146"/>
  <c r="W146" s="1"/>
  <c r="S146"/>
  <c r="V146" s="1"/>
  <c r="N146"/>
  <c r="M146"/>
  <c r="P146" s="1"/>
  <c r="L146"/>
  <c r="O146" s="1"/>
  <c r="G146"/>
  <c r="F146"/>
  <c r="I146" s="1"/>
  <c r="E146"/>
  <c r="H146" s="1"/>
  <c r="K149" l="1"/>
  <c r="R149"/>
  <c r="U3"/>
  <c r="U4"/>
  <c r="U5"/>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2"/>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2"/>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2"/>
  <c r="D16" i="9"/>
  <c r="C25" s="1"/>
  <c r="B8"/>
  <c r="E8" s="1"/>
  <c r="E15" s="1"/>
  <c r="D24" s="1"/>
  <c r="D7"/>
  <c r="D14" s="1"/>
  <c r="C23" s="1"/>
  <c r="E9"/>
  <c r="E16" s="1"/>
  <c r="D25" s="1"/>
  <c r="E7"/>
  <c r="E14" s="1"/>
  <c r="D23" s="1"/>
  <c r="S148" i="1" l="1"/>
  <c r="T148"/>
  <c r="U148"/>
  <c r="D26" i="9"/>
  <c r="D8"/>
  <c r="D15" s="1"/>
  <c r="C24" s="1"/>
  <c r="C26" s="1"/>
  <c r="E17"/>
  <c r="D17" l="1"/>
  <c r="E2" i="1"/>
  <c r="V20"/>
  <c r="W20"/>
  <c r="V25"/>
  <c r="W25"/>
  <c r="V91"/>
  <c r="W91"/>
  <c r="V89"/>
  <c r="W89"/>
  <c r="V90"/>
  <c r="W90"/>
  <c r="V23"/>
  <c r="W23"/>
  <c r="V22"/>
  <c r="W22"/>
  <c r="V24"/>
  <c r="W24"/>
  <c r="V84"/>
  <c r="W84"/>
  <c r="V130"/>
  <c r="W130"/>
  <c r="V92"/>
  <c r="W92"/>
  <c r="V61"/>
  <c r="W61"/>
  <c r="V83"/>
  <c r="W83"/>
  <c r="V66"/>
  <c r="W66"/>
  <c r="V42"/>
  <c r="W42"/>
  <c r="V41"/>
  <c r="W41"/>
  <c r="V125"/>
  <c r="W125"/>
  <c r="V48"/>
  <c r="W48"/>
  <c r="V15"/>
  <c r="W15"/>
  <c r="V51"/>
  <c r="W51"/>
  <c r="V60"/>
  <c r="W60"/>
  <c r="V57"/>
  <c r="W57"/>
  <c r="V32"/>
  <c r="W32"/>
  <c r="V95"/>
  <c r="W95"/>
  <c r="V97"/>
  <c r="W97"/>
  <c r="V58"/>
  <c r="W58"/>
  <c r="V2"/>
  <c r="W2"/>
  <c r="V36"/>
  <c r="W36"/>
  <c r="V96"/>
  <c r="W96"/>
  <c r="V65"/>
  <c r="W65"/>
  <c r="V119"/>
  <c r="W119"/>
  <c r="V45"/>
  <c r="W45"/>
  <c r="V77"/>
  <c r="W77"/>
  <c r="V107"/>
  <c r="W107"/>
  <c r="V17"/>
  <c r="W17"/>
  <c r="V127"/>
  <c r="W127"/>
  <c r="W136"/>
  <c r="V136"/>
  <c r="V9"/>
  <c r="W9"/>
  <c r="V140"/>
  <c r="W140"/>
  <c r="V121"/>
  <c r="W121"/>
  <c r="V52"/>
  <c r="W52"/>
  <c r="V81"/>
  <c r="W81"/>
  <c r="V18"/>
  <c r="W18"/>
  <c r="V67"/>
  <c r="W67"/>
  <c r="V21"/>
  <c r="W21"/>
  <c r="V14"/>
  <c r="W14"/>
  <c r="V62"/>
  <c r="W62"/>
  <c r="V105"/>
  <c r="W105"/>
  <c r="V63"/>
  <c r="W63"/>
  <c r="V129"/>
  <c r="W129"/>
  <c r="V39"/>
  <c r="W39"/>
  <c r="V112"/>
  <c r="W112"/>
  <c r="V87"/>
  <c r="W87"/>
  <c r="V98"/>
  <c r="W98"/>
  <c r="V131"/>
  <c r="W131"/>
  <c r="V33"/>
  <c r="W33"/>
  <c r="V137"/>
  <c r="W137"/>
  <c r="V139"/>
  <c r="W139"/>
  <c r="V44"/>
  <c r="W44"/>
  <c r="V54"/>
  <c r="W54"/>
  <c r="V19"/>
  <c r="W19"/>
  <c r="V115"/>
  <c r="W115"/>
  <c r="V71"/>
  <c r="W71"/>
  <c r="V106"/>
  <c r="W106"/>
  <c r="V145"/>
  <c r="W145"/>
  <c r="V55"/>
  <c r="W55"/>
  <c r="V85"/>
  <c r="W85"/>
  <c r="V27"/>
  <c r="W27"/>
  <c r="V3"/>
  <c r="W3"/>
  <c r="V120"/>
  <c r="W120"/>
  <c r="V123"/>
  <c r="W123"/>
  <c r="V124"/>
  <c r="W124"/>
  <c r="V43"/>
  <c r="W43"/>
  <c r="V49"/>
  <c r="W49"/>
  <c r="V72"/>
  <c r="W72"/>
  <c r="V73"/>
  <c r="W73"/>
  <c r="V7"/>
  <c r="W7"/>
  <c r="V114"/>
  <c r="W114"/>
  <c r="V8"/>
  <c r="W8"/>
  <c r="V101"/>
  <c r="W101"/>
  <c r="V104"/>
  <c r="W104"/>
  <c r="V78"/>
  <c r="W78"/>
  <c r="V35"/>
  <c r="W35"/>
  <c r="V56"/>
  <c r="W56"/>
  <c r="V138"/>
  <c r="W138"/>
  <c r="V59"/>
  <c r="W59"/>
  <c r="V103"/>
  <c r="W103"/>
  <c r="V70"/>
  <c r="W70"/>
  <c r="V37"/>
  <c r="W37"/>
  <c r="V50"/>
  <c r="W50"/>
  <c r="V116"/>
  <c r="W116"/>
  <c r="V26"/>
  <c r="W26"/>
  <c r="V53"/>
  <c r="W53"/>
  <c r="E20"/>
  <c r="H20" s="1"/>
  <c r="F20"/>
  <c r="I20" s="1"/>
  <c r="G20"/>
  <c r="E25"/>
  <c r="H25" s="1"/>
  <c r="F25"/>
  <c r="I25" s="1"/>
  <c r="G25"/>
  <c r="E91"/>
  <c r="H91" s="1"/>
  <c r="F91"/>
  <c r="I91" s="1"/>
  <c r="G91"/>
  <c r="E89"/>
  <c r="H89" s="1"/>
  <c r="F89"/>
  <c r="I89" s="1"/>
  <c r="G89"/>
  <c r="E90"/>
  <c r="H90" s="1"/>
  <c r="F90"/>
  <c r="I90" s="1"/>
  <c r="G90"/>
  <c r="E23"/>
  <c r="H23" s="1"/>
  <c r="F23"/>
  <c r="I23" s="1"/>
  <c r="G23"/>
  <c r="E22"/>
  <c r="H22" s="1"/>
  <c r="F22"/>
  <c r="I22" s="1"/>
  <c r="G22"/>
  <c r="E24"/>
  <c r="H24" s="1"/>
  <c r="F24"/>
  <c r="I24" s="1"/>
  <c r="G24"/>
  <c r="E84"/>
  <c r="H84" s="1"/>
  <c r="F84"/>
  <c r="I84" s="1"/>
  <c r="G84"/>
  <c r="E114"/>
  <c r="H114" s="1"/>
  <c r="F114"/>
  <c r="I114" s="1"/>
  <c r="G114"/>
  <c r="E8"/>
  <c r="H8" s="1"/>
  <c r="F8"/>
  <c r="I8" s="1"/>
  <c r="G8"/>
  <c r="E101"/>
  <c r="H101" s="1"/>
  <c r="F101"/>
  <c r="I101" s="1"/>
  <c r="G101"/>
  <c r="E104"/>
  <c r="H104" s="1"/>
  <c r="F104"/>
  <c r="I104" s="1"/>
  <c r="G104"/>
  <c r="E78"/>
  <c r="H78" s="1"/>
  <c r="F78"/>
  <c r="I78" s="1"/>
  <c r="G78"/>
  <c r="E35"/>
  <c r="H35" s="1"/>
  <c r="F35"/>
  <c r="I35" s="1"/>
  <c r="G35"/>
  <c r="E56"/>
  <c r="H56" s="1"/>
  <c r="F56"/>
  <c r="I56" s="1"/>
  <c r="G56"/>
  <c r="E138"/>
  <c r="H138" s="1"/>
  <c r="F138"/>
  <c r="I138" s="1"/>
  <c r="G138"/>
  <c r="E59"/>
  <c r="H59" s="1"/>
  <c r="F59"/>
  <c r="I59" s="1"/>
  <c r="G59"/>
  <c r="E103"/>
  <c r="H103" s="1"/>
  <c r="F103"/>
  <c r="I103" s="1"/>
  <c r="G103"/>
  <c r="E70"/>
  <c r="H70" s="1"/>
  <c r="F70"/>
  <c r="I70" s="1"/>
  <c r="G70"/>
  <c r="E37"/>
  <c r="H37" s="1"/>
  <c r="F37"/>
  <c r="I37" s="1"/>
  <c r="G37"/>
  <c r="E50"/>
  <c r="H50" s="1"/>
  <c r="F50"/>
  <c r="I50" s="1"/>
  <c r="G50"/>
  <c r="E116"/>
  <c r="H116" s="1"/>
  <c r="F116"/>
  <c r="I116" s="1"/>
  <c r="G116"/>
  <c r="E26"/>
  <c r="H26" s="1"/>
  <c r="F26"/>
  <c r="I26" s="1"/>
  <c r="G26"/>
  <c r="E145"/>
  <c r="H145" s="1"/>
  <c r="F145"/>
  <c r="I145" s="1"/>
  <c r="G145"/>
  <c r="E55"/>
  <c r="H55" s="1"/>
  <c r="F55"/>
  <c r="I55" s="1"/>
  <c r="G55"/>
  <c r="E85"/>
  <c r="H85" s="1"/>
  <c r="F85"/>
  <c r="I85" s="1"/>
  <c r="G85"/>
  <c r="E27"/>
  <c r="H27" s="1"/>
  <c r="F27"/>
  <c r="I27" s="1"/>
  <c r="G27"/>
  <c r="E3"/>
  <c r="H3" s="1"/>
  <c r="F3"/>
  <c r="I3" s="1"/>
  <c r="G3"/>
  <c r="E120"/>
  <c r="H120" s="1"/>
  <c r="F120"/>
  <c r="I120" s="1"/>
  <c r="G120"/>
  <c r="E123"/>
  <c r="H123" s="1"/>
  <c r="F123"/>
  <c r="I123" s="1"/>
  <c r="G123"/>
  <c r="E124"/>
  <c r="H124" s="1"/>
  <c r="F124"/>
  <c r="I124" s="1"/>
  <c r="G124"/>
  <c r="E43"/>
  <c r="H43" s="1"/>
  <c r="F43"/>
  <c r="I43" s="1"/>
  <c r="G43"/>
  <c r="E49"/>
  <c r="H49" s="1"/>
  <c r="F49"/>
  <c r="I49" s="1"/>
  <c r="G49"/>
  <c r="E72"/>
  <c r="H72" s="1"/>
  <c r="F72"/>
  <c r="I72" s="1"/>
  <c r="G72"/>
  <c r="E73"/>
  <c r="H73" s="1"/>
  <c r="F73"/>
  <c r="I73" s="1"/>
  <c r="G73"/>
  <c r="E7"/>
  <c r="H7" s="1"/>
  <c r="F7"/>
  <c r="I7" s="1"/>
  <c r="G7"/>
  <c r="E17"/>
  <c r="H17" s="1"/>
  <c r="F17"/>
  <c r="I17" s="1"/>
  <c r="G17"/>
  <c r="E127"/>
  <c r="H127" s="1"/>
  <c r="F127"/>
  <c r="I127" s="1"/>
  <c r="G127"/>
  <c r="E136"/>
  <c r="H136" s="1"/>
  <c r="F136"/>
  <c r="I136" s="1"/>
  <c r="G136"/>
  <c r="E9"/>
  <c r="H9" s="1"/>
  <c r="F9"/>
  <c r="I9" s="1"/>
  <c r="G9"/>
  <c r="E140"/>
  <c r="H140" s="1"/>
  <c r="F140"/>
  <c r="I140" s="1"/>
  <c r="G140"/>
  <c r="E121"/>
  <c r="H121" s="1"/>
  <c r="F121"/>
  <c r="I121" s="1"/>
  <c r="G121"/>
  <c r="E52"/>
  <c r="H52" s="1"/>
  <c r="F52"/>
  <c r="I52" s="1"/>
  <c r="G52"/>
  <c r="E81"/>
  <c r="H81" s="1"/>
  <c r="F81"/>
  <c r="I81" s="1"/>
  <c r="G81"/>
  <c r="E18"/>
  <c r="H18" s="1"/>
  <c r="F18"/>
  <c r="I18" s="1"/>
  <c r="G18"/>
  <c r="E67"/>
  <c r="H67" s="1"/>
  <c r="F67"/>
  <c r="I67" s="1"/>
  <c r="G67"/>
  <c r="E21"/>
  <c r="H21" s="1"/>
  <c r="F21"/>
  <c r="I21" s="1"/>
  <c r="G21"/>
  <c r="E14"/>
  <c r="H14" s="1"/>
  <c r="F14"/>
  <c r="I14" s="1"/>
  <c r="G14"/>
  <c r="E62"/>
  <c r="H62" s="1"/>
  <c r="F62"/>
  <c r="I62" s="1"/>
  <c r="G62"/>
  <c r="E105"/>
  <c r="H105" s="1"/>
  <c r="F105"/>
  <c r="I105" s="1"/>
  <c r="G105"/>
  <c r="E63"/>
  <c r="H63" s="1"/>
  <c r="F63"/>
  <c r="I63" s="1"/>
  <c r="G63"/>
  <c r="E129"/>
  <c r="H129" s="1"/>
  <c r="F129"/>
  <c r="I129" s="1"/>
  <c r="G129"/>
  <c r="E39"/>
  <c r="H39" s="1"/>
  <c r="F39"/>
  <c r="I39" s="1"/>
  <c r="G39"/>
  <c r="E112"/>
  <c r="H112" s="1"/>
  <c r="F112"/>
  <c r="I112" s="1"/>
  <c r="G112"/>
  <c r="E87"/>
  <c r="H87" s="1"/>
  <c r="F87"/>
  <c r="I87" s="1"/>
  <c r="G87"/>
  <c r="E98"/>
  <c r="H98" s="1"/>
  <c r="F98"/>
  <c r="I98" s="1"/>
  <c r="G98"/>
  <c r="E131"/>
  <c r="H131" s="1"/>
  <c r="F131"/>
  <c r="I131" s="1"/>
  <c r="G131"/>
  <c r="E33"/>
  <c r="H33" s="1"/>
  <c r="F33"/>
  <c r="I33" s="1"/>
  <c r="G33"/>
  <c r="E137"/>
  <c r="H137" s="1"/>
  <c r="F137"/>
  <c r="I137" s="1"/>
  <c r="G137"/>
  <c r="E139"/>
  <c r="H139" s="1"/>
  <c r="F139"/>
  <c r="I139" s="1"/>
  <c r="G139"/>
  <c r="E44"/>
  <c r="H44" s="1"/>
  <c r="F44"/>
  <c r="I44" s="1"/>
  <c r="G44"/>
  <c r="E54"/>
  <c r="H54" s="1"/>
  <c r="F54"/>
  <c r="I54" s="1"/>
  <c r="G54"/>
  <c r="E19"/>
  <c r="H19" s="1"/>
  <c r="F19"/>
  <c r="I19" s="1"/>
  <c r="G19"/>
  <c r="E115"/>
  <c r="H115" s="1"/>
  <c r="F115"/>
  <c r="I115" s="1"/>
  <c r="G115"/>
  <c r="E71"/>
  <c r="H71" s="1"/>
  <c r="F71"/>
  <c r="I71" s="1"/>
  <c r="G71"/>
  <c r="E106"/>
  <c r="H106" s="1"/>
  <c r="F106"/>
  <c r="I106" s="1"/>
  <c r="G106"/>
  <c r="E51"/>
  <c r="H51" s="1"/>
  <c r="F51"/>
  <c r="I51" s="1"/>
  <c r="G51"/>
  <c r="E60"/>
  <c r="H60" s="1"/>
  <c r="F60"/>
  <c r="I60" s="1"/>
  <c r="G60"/>
  <c r="E57"/>
  <c r="H57" s="1"/>
  <c r="F57"/>
  <c r="I57" s="1"/>
  <c r="G57"/>
  <c r="E32"/>
  <c r="H32" s="1"/>
  <c r="F32"/>
  <c r="I32" s="1"/>
  <c r="G32"/>
  <c r="E95"/>
  <c r="H95" s="1"/>
  <c r="F95"/>
  <c r="I95" s="1"/>
  <c r="G95"/>
  <c r="E97"/>
  <c r="H97" s="1"/>
  <c r="F97"/>
  <c r="I97" s="1"/>
  <c r="G97"/>
  <c r="E58"/>
  <c r="H58" s="1"/>
  <c r="F58"/>
  <c r="I58" s="1"/>
  <c r="G58"/>
  <c r="H2"/>
  <c r="F2"/>
  <c r="G2"/>
  <c r="E36"/>
  <c r="H36" s="1"/>
  <c r="F36"/>
  <c r="I36" s="1"/>
  <c r="G36"/>
  <c r="E96"/>
  <c r="H96" s="1"/>
  <c r="F96"/>
  <c r="I96" s="1"/>
  <c r="G96"/>
  <c r="E65"/>
  <c r="H65" s="1"/>
  <c r="F65"/>
  <c r="I65" s="1"/>
  <c r="G65"/>
  <c r="E119"/>
  <c r="H119" s="1"/>
  <c r="F119"/>
  <c r="I119" s="1"/>
  <c r="G119"/>
  <c r="E45"/>
  <c r="H45" s="1"/>
  <c r="F45"/>
  <c r="I45" s="1"/>
  <c r="G45"/>
  <c r="E77"/>
  <c r="H77" s="1"/>
  <c r="F77"/>
  <c r="I77" s="1"/>
  <c r="G77"/>
  <c r="E107"/>
  <c r="H107" s="1"/>
  <c r="F107"/>
  <c r="I107" s="1"/>
  <c r="G107"/>
  <c r="E75"/>
  <c r="H75" s="1"/>
  <c r="F75"/>
  <c r="I75" s="1"/>
  <c r="G75"/>
  <c r="E68"/>
  <c r="H68" s="1"/>
  <c r="F68"/>
  <c r="I68" s="1"/>
  <c r="G68"/>
  <c r="E53"/>
  <c r="H53" s="1"/>
  <c r="F53"/>
  <c r="I53" s="1"/>
  <c r="G53"/>
  <c r="E130"/>
  <c r="H130" s="1"/>
  <c r="F130"/>
  <c r="I130" s="1"/>
  <c r="G130"/>
  <c r="E92"/>
  <c r="H92" s="1"/>
  <c r="F92"/>
  <c r="I92" s="1"/>
  <c r="G92"/>
  <c r="E61"/>
  <c r="H61" s="1"/>
  <c r="F61"/>
  <c r="I61" s="1"/>
  <c r="G61"/>
  <c r="E83"/>
  <c r="H83" s="1"/>
  <c r="F83"/>
  <c r="I83" s="1"/>
  <c r="G83"/>
  <c r="E66"/>
  <c r="H66" s="1"/>
  <c r="F66"/>
  <c r="I66" s="1"/>
  <c r="G66"/>
  <c r="E42"/>
  <c r="H42" s="1"/>
  <c r="F42"/>
  <c r="I42" s="1"/>
  <c r="G42"/>
  <c r="E41"/>
  <c r="H41" s="1"/>
  <c r="F41"/>
  <c r="I41" s="1"/>
  <c r="G41"/>
  <c r="E125"/>
  <c r="H125" s="1"/>
  <c r="F125"/>
  <c r="I125" s="1"/>
  <c r="G125"/>
  <c r="E48"/>
  <c r="H48" s="1"/>
  <c r="F48"/>
  <c r="I48" s="1"/>
  <c r="G48"/>
  <c r="E15"/>
  <c r="H15" s="1"/>
  <c r="F15"/>
  <c r="I15" s="1"/>
  <c r="G15"/>
  <c r="V68"/>
  <c r="W68"/>
  <c r="V75"/>
  <c r="W75"/>
  <c r="V94"/>
  <c r="W94"/>
  <c r="L74"/>
  <c r="M74"/>
  <c r="N74"/>
  <c r="L13"/>
  <c r="M13"/>
  <c r="N13"/>
  <c r="L86"/>
  <c r="M86"/>
  <c r="N86"/>
  <c r="L100"/>
  <c r="M100"/>
  <c r="N100"/>
  <c r="L144"/>
  <c r="M144"/>
  <c r="N144"/>
  <c r="L29"/>
  <c r="M29"/>
  <c r="N29"/>
  <c r="L126"/>
  <c r="M126"/>
  <c r="N126"/>
  <c r="L64"/>
  <c r="M64"/>
  <c r="N64"/>
  <c r="L109"/>
  <c r="M109"/>
  <c r="N109"/>
  <c r="L5"/>
  <c r="M5"/>
  <c r="N5"/>
  <c r="L82"/>
  <c r="M82"/>
  <c r="N82"/>
  <c r="L142"/>
  <c r="M142"/>
  <c r="N142"/>
  <c r="L88"/>
  <c r="M88"/>
  <c r="N88"/>
  <c r="L16"/>
  <c r="M16"/>
  <c r="N16"/>
  <c r="L108"/>
  <c r="M108"/>
  <c r="N108"/>
  <c r="L141"/>
  <c r="M141"/>
  <c r="N141"/>
  <c r="L143"/>
  <c r="M143"/>
  <c r="N143"/>
  <c r="L102"/>
  <c r="M102"/>
  <c r="N102"/>
  <c r="L135"/>
  <c r="M135"/>
  <c r="N135"/>
  <c r="L134"/>
  <c r="M134"/>
  <c r="N134"/>
  <c r="L133"/>
  <c r="M133"/>
  <c r="N133"/>
  <c r="L132"/>
  <c r="M132"/>
  <c r="N132"/>
  <c r="L79"/>
  <c r="M79"/>
  <c r="N79"/>
  <c r="L128"/>
  <c r="M128"/>
  <c r="N128"/>
  <c r="L110"/>
  <c r="M110"/>
  <c r="N110"/>
  <c r="L6"/>
  <c r="M6"/>
  <c r="N6"/>
  <c r="L111"/>
  <c r="M111"/>
  <c r="N111"/>
  <c r="L76"/>
  <c r="M76"/>
  <c r="N76"/>
  <c r="L80"/>
  <c r="M80"/>
  <c r="N80"/>
  <c r="L11"/>
  <c r="M11"/>
  <c r="N11"/>
  <c r="L93"/>
  <c r="M93"/>
  <c r="N93"/>
  <c r="L10"/>
  <c r="M10"/>
  <c r="N10"/>
  <c r="L34"/>
  <c r="M34"/>
  <c r="N34"/>
  <c r="L99"/>
  <c r="M99"/>
  <c r="N99"/>
  <c r="L117"/>
  <c r="M117"/>
  <c r="N117"/>
  <c r="L12"/>
  <c r="M12"/>
  <c r="N12"/>
  <c r="L46"/>
  <c r="M46"/>
  <c r="N46"/>
  <c r="L31"/>
  <c r="M31"/>
  <c r="N31"/>
  <c r="L4"/>
  <c r="M4"/>
  <c r="N4"/>
  <c r="L28"/>
  <c r="M28"/>
  <c r="N28"/>
  <c r="L118"/>
  <c r="M118"/>
  <c r="N118"/>
  <c r="L30"/>
  <c r="M30"/>
  <c r="N30"/>
  <c r="L47"/>
  <c r="M47"/>
  <c r="N47"/>
  <c r="L69"/>
  <c r="M69"/>
  <c r="N69"/>
  <c r="L38"/>
  <c r="M38"/>
  <c r="N38"/>
  <c r="L122"/>
  <c r="M122"/>
  <c r="N122"/>
  <c r="L113"/>
  <c r="M113"/>
  <c r="N113"/>
  <c r="L94"/>
  <c r="M94"/>
  <c r="P94" s="1"/>
  <c r="N94"/>
  <c r="L75"/>
  <c r="M75"/>
  <c r="N75"/>
  <c r="L68"/>
  <c r="O68" s="1"/>
  <c r="M68"/>
  <c r="N68"/>
  <c r="L53"/>
  <c r="O53" s="1"/>
  <c r="M53"/>
  <c r="P53" s="1"/>
  <c r="N53"/>
  <c r="L130"/>
  <c r="M130"/>
  <c r="N130"/>
  <c r="L92"/>
  <c r="M92"/>
  <c r="P92" s="1"/>
  <c r="N92"/>
  <c r="L61"/>
  <c r="O61" s="1"/>
  <c r="M61"/>
  <c r="P61" s="1"/>
  <c r="N61"/>
  <c r="L83"/>
  <c r="M83"/>
  <c r="P83" s="1"/>
  <c r="N83"/>
  <c r="L66"/>
  <c r="O66" s="1"/>
  <c r="M66"/>
  <c r="P66" s="1"/>
  <c r="N66"/>
  <c r="L42"/>
  <c r="O42" s="1"/>
  <c r="M42"/>
  <c r="N42"/>
  <c r="L41"/>
  <c r="O41" s="1"/>
  <c r="M41"/>
  <c r="N41"/>
  <c r="L125"/>
  <c r="O125" s="1"/>
  <c r="M125"/>
  <c r="P125" s="1"/>
  <c r="N125"/>
  <c r="L48"/>
  <c r="O48" s="1"/>
  <c r="M48"/>
  <c r="P48" s="1"/>
  <c r="N48"/>
  <c r="L15"/>
  <c r="M15"/>
  <c r="P15" s="1"/>
  <c r="N15"/>
  <c r="L51"/>
  <c r="O51" s="1"/>
  <c r="M51"/>
  <c r="P51" s="1"/>
  <c r="N51"/>
  <c r="L60"/>
  <c r="O60" s="1"/>
  <c r="M60"/>
  <c r="P60" s="1"/>
  <c r="N60"/>
  <c r="L57"/>
  <c r="O57" s="1"/>
  <c r="M57"/>
  <c r="P57" s="1"/>
  <c r="N57"/>
  <c r="L32"/>
  <c r="M32"/>
  <c r="P32" s="1"/>
  <c r="N32"/>
  <c r="L95"/>
  <c r="O95" s="1"/>
  <c r="M95"/>
  <c r="P95" s="1"/>
  <c r="N95"/>
  <c r="L97"/>
  <c r="O97" s="1"/>
  <c r="M97"/>
  <c r="P97" s="1"/>
  <c r="N97"/>
  <c r="L58"/>
  <c r="O58" s="1"/>
  <c r="M58"/>
  <c r="P58" s="1"/>
  <c r="N58"/>
  <c r="L2"/>
  <c r="O2" s="1"/>
  <c r="M2"/>
  <c r="P2" s="1"/>
  <c r="N2"/>
  <c r="L36"/>
  <c r="O36" s="1"/>
  <c r="M36"/>
  <c r="P36" s="1"/>
  <c r="N36"/>
  <c r="L96"/>
  <c r="O96" s="1"/>
  <c r="M96"/>
  <c r="P96" s="1"/>
  <c r="N96"/>
  <c r="L65"/>
  <c r="O65" s="1"/>
  <c r="M65"/>
  <c r="P65" s="1"/>
  <c r="N65"/>
  <c r="L119"/>
  <c r="O119" s="1"/>
  <c r="M119"/>
  <c r="P119" s="1"/>
  <c r="N119"/>
  <c r="L45"/>
  <c r="O45" s="1"/>
  <c r="M45"/>
  <c r="P45" s="1"/>
  <c r="N45"/>
  <c r="L77"/>
  <c r="O77" s="1"/>
  <c r="M77"/>
  <c r="P77" s="1"/>
  <c r="N77"/>
  <c r="L107"/>
  <c r="O107" s="1"/>
  <c r="M107"/>
  <c r="P107" s="1"/>
  <c r="N107"/>
  <c r="L17"/>
  <c r="O17" s="1"/>
  <c r="M17"/>
  <c r="P17" s="1"/>
  <c r="N17"/>
  <c r="L127"/>
  <c r="O127" s="1"/>
  <c r="M127"/>
  <c r="P127" s="1"/>
  <c r="N127"/>
  <c r="L136"/>
  <c r="O136" s="1"/>
  <c r="M136"/>
  <c r="N136"/>
  <c r="L9"/>
  <c r="O9" s="1"/>
  <c r="M9"/>
  <c r="P9" s="1"/>
  <c r="N9"/>
  <c r="L140"/>
  <c r="O140" s="1"/>
  <c r="M140"/>
  <c r="P140" s="1"/>
  <c r="N140"/>
  <c r="L121"/>
  <c r="O121" s="1"/>
  <c r="M121"/>
  <c r="P121" s="1"/>
  <c r="N121"/>
  <c r="L52"/>
  <c r="O52" s="1"/>
  <c r="M52"/>
  <c r="N52"/>
  <c r="L81"/>
  <c r="O81" s="1"/>
  <c r="M81"/>
  <c r="P81" s="1"/>
  <c r="N81"/>
  <c r="L18"/>
  <c r="O18" s="1"/>
  <c r="M18"/>
  <c r="P18" s="1"/>
  <c r="N18"/>
  <c r="L67"/>
  <c r="O67" s="1"/>
  <c r="M67"/>
  <c r="P67" s="1"/>
  <c r="N67"/>
  <c r="L21"/>
  <c r="O21" s="1"/>
  <c r="M21"/>
  <c r="P21" s="1"/>
  <c r="N21"/>
  <c r="L14"/>
  <c r="O14" s="1"/>
  <c r="M14"/>
  <c r="P14" s="1"/>
  <c r="N14"/>
  <c r="L62"/>
  <c r="O62" s="1"/>
  <c r="M62"/>
  <c r="P62" s="1"/>
  <c r="N62"/>
  <c r="L105"/>
  <c r="O105" s="1"/>
  <c r="M105"/>
  <c r="N105"/>
  <c r="L63"/>
  <c r="O63" s="1"/>
  <c r="M63"/>
  <c r="P63" s="1"/>
  <c r="N63"/>
  <c r="L129"/>
  <c r="O129" s="1"/>
  <c r="M129"/>
  <c r="P129" s="1"/>
  <c r="N129"/>
  <c r="L39"/>
  <c r="O39" s="1"/>
  <c r="M39"/>
  <c r="P39" s="1"/>
  <c r="N39"/>
  <c r="L112"/>
  <c r="O112" s="1"/>
  <c r="M112"/>
  <c r="P112" s="1"/>
  <c r="N112"/>
  <c r="L87"/>
  <c r="O87" s="1"/>
  <c r="M87"/>
  <c r="P87" s="1"/>
  <c r="N87"/>
  <c r="L98"/>
  <c r="O98" s="1"/>
  <c r="M98"/>
  <c r="P98" s="1"/>
  <c r="N98"/>
  <c r="L131"/>
  <c r="O131" s="1"/>
  <c r="M131"/>
  <c r="P131" s="1"/>
  <c r="N131"/>
  <c r="L33"/>
  <c r="O33" s="1"/>
  <c r="M33"/>
  <c r="P33" s="1"/>
  <c r="N33"/>
  <c r="L137"/>
  <c r="O137" s="1"/>
  <c r="M137"/>
  <c r="P137" s="1"/>
  <c r="N137"/>
  <c r="L139"/>
  <c r="O139" s="1"/>
  <c r="M139"/>
  <c r="P139" s="1"/>
  <c r="N139"/>
  <c r="L44"/>
  <c r="M44"/>
  <c r="P44" s="1"/>
  <c r="N44"/>
  <c r="L54"/>
  <c r="O54" s="1"/>
  <c r="M54"/>
  <c r="P54" s="1"/>
  <c r="N54"/>
  <c r="L19"/>
  <c r="O19" s="1"/>
  <c r="M19"/>
  <c r="P19" s="1"/>
  <c r="N19"/>
  <c r="L115"/>
  <c r="O115" s="1"/>
  <c r="M115"/>
  <c r="P115" s="1"/>
  <c r="N115"/>
  <c r="L71"/>
  <c r="O71" s="1"/>
  <c r="M71"/>
  <c r="P71" s="1"/>
  <c r="N71"/>
  <c r="L106"/>
  <c r="O106" s="1"/>
  <c r="M106"/>
  <c r="P106" s="1"/>
  <c r="N106"/>
  <c r="L145"/>
  <c r="O145" s="1"/>
  <c r="M145"/>
  <c r="P145" s="1"/>
  <c r="N145"/>
  <c r="L55"/>
  <c r="O55" s="1"/>
  <c r="M55"/>
  <c r="P55" s="1"/>
  <c r="N55"/>
  <c r="L85"/>
  <c r="O85" s="1"/>
  <c r="M85"/>
  <c r="P85" s="1"/>
  <c r="N85"/>
  <c r="L27"/>
  <c r="O27" s="1"/>
  <c r="M27"/>
  <c r="P27" s="1"/>
  <c r="N27"/>
  <c r="L3"/>
  <c r="M3"/>
  <c r="P3" s="1"/>
  <c r="N3"/>
  <c r="L120"/>
  <c r="O120" s="1"/>
  <c r="M120"/>
  <c r="P120" s="1"/>
  <c r="N120"/>
  <c r="L123"/>
  <c r="O123" s="1"/>
  <c r="M123"/>
  <c r="P123" s="1"/>
  <c r="N123"/>
  <c r="L124"/>
  <c r="O124" s="1"/>
  <c r="M124"/>
  <c r="N124"/>
  <c r="L43"/>
  <c r="O43" s="1"/>
  <c r="M43"/>
  <c r="P43" s="1"/>
  <c r="N43"/>
  <c r="L49"/>
  <c r="O49" s="1"/>
  <c r="M49"/>
  <c r="P49" s="1"/>
  <c r="N49"/>
  <c r="L72"/>
  <c r="O72" s="1"/>
  <c r="M72"/>
  <c r="P72" s="1"/>
  <c r="N72"/>
  <c r="L73"/>
  <c r="O73" s="1"/>
  <c r="M73"/>
  <c r="P73" s="1"/>
  <c r="N73"/>
  <c r="L7"/>
  <c r="O7" s="1"/>
  <c r="M7"/>
  <c r="P7" s="1"/>
  <c r="N7"/>
  <c r="L114"/>
  <c r="O114" s="1"/>
  <c r="M114"/>
  <c r="P114" s="1"/>
  <c r="N114"/>
  <c r="L8"/>
  <c r="O8" s="1"/>
  <c r="M8"/>
  <c r="P8" s="1"/>
  <c r="N8"/>
  <c r="L101"/>
  <c r="O101" s="1"/>
  <c r="M101"/>
  <c r="P101" s="1"/>
  <c r="N101"/>
  <c r="L104"/>
  <c r="O104" s="1"/>
  <c r="M104"/>
  <c r="P104" s="1"/>
  <c r="N104"/>
  <c r="L78"/>
  <c r="O78" s="1"/>
  <c r="M78"/>
  <c r="P78" s="1"/>
  <c r="N78"/>
  <c r="L35"/>
  <c r="O35" s="1"/>
  <c r="M35"/>
  <c r="P35" s="1"/>
  <c r="N35"/>
  <c r="L56"/>
  <c r="O56" s="1"/>
  <c r="M56"/>
  <c r="P56" s="1"/>
  <c r="N56"/>
  <c r="L138"/>
  <c r="O138" s="1"/>
  <c r="M138"/>
  <c r="P138" s="1"/>
  <c r="N138"/>
  <c r="L59"/>
  <c r="O59" s="1"/>
  <c r="M59"/>
  <c r="P59" s="1"/>
  <c r="N59"/>
  <c r="L103"/>
  <c r="O103" s="1"/>
  <c r="M103"/>
  <c r="P103" s="1"/>
  <c r="N103"/>
  <c r="L70"/>
  <c r="O70" s="1"/>
  <c r="M70"/>
  <c r="P70" s="1"/>
  <c r="N70"/>
  <c r="L37"/>
  <c r="O37" s="1"/>
  <c r="M37"/>
  <c r="P37" s="1"/>
  <c r="N37"/>
  <c r="L50"/>
  <c r="O50" s="1"/>
  <c r="M50"/>
  <c r="P50" s="1"/>
  <c r="N50"/>
  <c r="L116"/>
  <c r="O116" s="1"/>
  <c r="M116"/>
  <c r="N116"/>
  <c r="L26"/>
  <c r="O26" s="1"/>
  <c r="M26"/>
  <c r="P26" s="1"/>
  <c r="N26"/>
  <c r="L20"/>
  <c r="O20" s="1"/>
  <c r="M20"/>
  <c r="P20" s="1"/>
  <c r="N20"/>
  <c r="L25"/>
  <c r="O25" s="1"/>
  <c r="M25"/>
  <c r="P25" s="1"/>
  <c r="N25"/>
  <c r="L91"/>
  <c r="O91" s="1"/>
  <c r="M91"/>
  <c r="N91"/>
  <c r="L89"/>
  <c r="O89" s="1"/>
  <c r="M89"/>
  <c r="P89" s="1"/>
  <c r="N89"/>
  <c r="L90"/>
  <c r="O90" s="1"/>
  <c r="M90"/>
  <c r="P90" s="1"/>
  <c r="N90"/>
  <c r="L23"/>
  <c r="O23" s="1"/>
  <c r="M23"/>
  <c r="P23" s="1"/>
  <c r="N23"/>
  <c r="L22"/>
  <c r="O22" s="1"/>
  <c r="M22"/>
  <c r="N22"/>
  <c r="L24"/>
  <c r="O24" s="1"/>
  <c r="M24"/>
  <c r="P24" s="1"/>
  <c r="N24"/>
  <c r="L84"/>
  <c r="O84" s="1"/>
  <c r="M84"/>
  <c r="P84" s="1"/>
  <c r="N84"/>
  <c r="N40"/>
  <c r="M40"/>
  <c r="P40" s="1"/>
  <c r="L40"/>
  <c r="O40" s="1"/>
  <c r="I2"/>
  <c r="O94"/>
  <c r="O75"/>
  <c r="P75"/>
  <c r="P68"/>
  <c r="O130"/>
  <c r="P130"/>
  <c r="O92"/>
  <c r="O83"/>
  <c r="P42"/>
  <c r="P41"/>
  <c r="O15"/>
  <c r="O32"/>
  <c r="P136"/>
  <c r="P52"/>
  <c r="P105"/>
  <c r="O44"/>
  <c r="O3"/>
  <c r="P124"/>
  <c r="P116"/>
  <c r="P91"/>
  <c r="P22"/>
  <c r="F94"/>
  <c r="I94" s="1"/>
  <c r="G94"/>
  <c r="E94"/>
  <c r="H94" s="1"/>
  <c r="F40"/>
  <c r="I40" s="1"/>
  <c r="F74"/>
  <c r="I74" s="1"/>
  <c r="F13"/>
  <c r="I13" s="1"/>
  <c r="F86"/>
  <c r="I86" s="1"/>
  <c r="F100"/>
  <c r="I100" s="1"/>
  <c r="F144"/>
  <c r="I144" s="1"/>
  <c r="F29"/>
  <c r="I29" s="1"/>
  <c r="F126"/>
  <c r="I126" s="1"/>
  <c r="F64"/>
  <c r="I64" s="1"/>
  <c r="F109"/>
  <c r="I109" s="1"/>
  <c r="F5"/>
  <c r="I5" s="1"/>
  <c r="F82"/>
  <c r="I82" s="1"/>
  <c r="F142"/>
  <c r="I142" s="1"/>
  <c r="F88"/>
  <c r="I88" s="1"/>
  <c r="F16"/>
  <c r="I16" s="1"/>
  <c r="F108"/>
  <c r="I108" s="1"/>
  <c r="F141"/>
  <c r="I141" s="1"/>
  <c r="F143"/>
  <c r="I143" s="1"/>
  <c r="F102"/>
  <c r="I102" s="1"/>
  <c r="F135"/>
  <c r="I135" s="1"/>
  <c r="F134"/>
  <c r="I134" s="1"/>
  <c r="F133"/>
  <c r="I133" s="1"/>
  <c r="F132"/>
  <c r="I132" s="1"/>
  <c r="F79"/>
  <c r="I79" s="1"/>
  <c r="F128"/>
  <c r="I128" s="1"/>
  <c r="F110"/>
  <c r="I110" s="1"/>
  <c r="F6"/>
  <c r="I6" s="1"/>
  <c r="F111"/>
  <c r="I111" s="1"/>
  <c r="F76"/>
  <c r="I76" s="1"/>
  <c r="F80"/>
  <c r="I80" s="1"/>
  <c r="F11"/>
  <c r="I11" s="1"/>
  <c r="F93"/>
  <c r="I93" s="1"/>
  <c r="F10"/>
  <c r="I10" s="1"/>
  <c r="F34"/>
  <c r="I34" s="1"/>
  <c r="F99"/>
  <c r="I99" s="1"/>
  <c r="F117"/>
  <c r="I117" s="1"/>
  <c r="F12"/>
  <c r="I12" s="1"/>
  <c r="F46"/>
  <c r="I46" s="1"/>
  <c r="F31"/>
  <c r="I31" s="1"/>
  <c r="F4"/>
  <c r="I4" s="1"/>
  <c r="F28"/>
  <c r="I28" s="1"/>
  <c r="F118"/>
  <c r="I118" s="1"/>
  <c r="F30"/>
  <c r="I30" s="1"/>
  <c r="F47"/>
  <c r="I47" s="1"/>
  <c r="F69"/>
  <c r="I69" s="1"/>
  <c r="F38"/>
  <c r="I38" s="1"/>
  <c r="F122"/>
  <c r="I122" s="1"/>
  <c r="F113"/>
  <c r="I113" s="1"/>
  <c r="I148" l="1"/>
  <c r="M148"/>
  <c r="N148"/>
  <c r="L148"/>
  <c r="F148"/>
  <c r="E40"/>
  <c r="E74"/>
  <c r="E13"/>
  <c r="E86"/>
  <c r="E100"/>
  <c r="E144"/>
  <c r="E29"/>
  <c r="E126"/>
  <c r="E64"/>
  <c r="E109"/>
  <c r="E5"/>
  <c r="E82"/>
  <c r="E142"/>
  <c r="E88"/>
  <c r="E16"/>
  <c r="E108"/>
  <c r="E141"/>
  <c r="E143"/>
  <c r="E102"/>
  <c r="E135"/>
  <c r="E134"/>
  <c r="E133"/>
  <c r="E132"/>
  <c r="E79"/>
  <c r="E128"/>
  <c r="E110"/>
  <c r="E6"/>
  <c r="E111"/>
  <c r="E76"/>
  <c r="E80"/>
  <c r="E11"/>
  <c r="E93"/>
  <c r="E10"/>
  <c r="E34"/>
  <c r="E99"/>
  <c r="E117"/>
  <c r="E12"/>
  <c r="E46"/>
  <c r="E31"/>
  <c r="E4"/>
  <c r="E28"/>
  <c r="E118"/>
  <c r="E30"/>
  <c r="E47"/>
  <c r="E69"/>
  <c r="E38"/>
  <c r="E122"/>
  <c r="E113"/>
  <c r="E148" l="1"/>
  <c r="V109"/>
  <c r="W109"/>
  <c r="V5"/>
  <c r="W5"/>
  <c r="V82"/>
  <c r="W82"/>
  <c r="V142"/>
  <c r="W142"/>
  <c r="V88"/>
  <c r="W88"/>
  <c r="V16"/>
  <c r="W16"/>
  <c r="V108"/>
  <c r="W108"/>
  <c r="V141"/>
  <c r="W141"/>
  <c r="V143"/>
  <c r="W143"/>
  <c r="V102"/>
  <c r="W102"/>
  <c r="V135"/>
  <c r="W135"/>
  <c r="V134"/>
  <c r="W134"/>
  <c r="V133"/>
  <c r="W133"/>
  <c r="V132"/>
  <c r="W132"/>
  <c r="V79"/>
  <c r="W79"/>
  <c r="V128"/>
  <c r="W128"/>
  <c r="V110"/>
  <c r="W110"/>
  <c r="V6"/>
  <c r="W6"/>
  <c r="V111"/>
  <c r="W111"/>
  <c r="V76"/>
  <c r="W76"/>
  <c r="V80"/>
  <c r="W80"/>
  <c r="V11"/>
  <c r="W11"/>
  <c r="V93"/>
  <c r="W93"/>
  <c r="V10"/>
  <c r="W10"/>
  <c r="V34"/>
  <c r="W34"/>
  <c r="V99"/>
  <c r="W99"/>
  <c r="V117"/>
  <c r="W117"/>
  <c r="V12"/>
  <c r="W12"/>
  <c r="V46"/>
  <c r="W46"/>
  <c r="V31"/>
  <c r="W31"/>
  <c r="V4"/>
  <c r="W4"/>
  <c r="V28"/>
  <c r="W28"/>
  <c r="V118"/>
  <c r="W118"/>
  <c r="V30"/>
  <c r="W30"/>
  <c r="V47"/>
  <c r="W47"/>
  <c r="V69"/>
  <c r="W69"/>
  <c r="V38"/>
  <c r="W38"/>
  <c r="V122"/>
  <c r="W122"/>
  <c r="V113"/>
  <c r="W113"/>
  <c r="O109"/>
  <c r="P109"/>
  <c r="O5"/>
  <c r="P5"/>
  <c r="O82"/>
  <c r="P82"/>
  <c r="O142"/>
  <c r="P142"/>
  <c r="O88"/>
  <c r="P88"/>
  <c r="O16"/>
  <c r="P16"/>
  <c r="O108"/>
  <c r="P108"/>
  <c r="O141"/>
  <c r="P141"/>
  <c r="O143"/>
  <c r="P143"/>
  <c r="O102"/>
  <c r="P102"/>
  <c r="O135"/>
  <c r="P135"/>
  <c r="O134"/>
  <c r="P134"/>
  <c r="O133"/>
  <c r="P133"/>
  <c r="O132"/>
  <c r="P132"/>
  <c r="O79"/>
  <c r="P79"/>
  <c r="O128"/>
  <c r="P128"/>
  <c r="O110"/>
  <c r="P110"/>
  <c r="O6"/>
  <c r="P6"/>
  <c r="O111"/>
  <c r="P111"/>
  <c r="O76"/>
  <c r="P76"/>
  <c r="O80"/>
  <c r="P80"/>
  <c r="O11"/>
  <c r="P11"/>
  <c r="O93"/>
  <c r="P93"/>
  <c r="O10"/>
  <c r="P10"/>
  <c r="O34"/>
  <c r="P34"/>
  <c r="O99"/>
  <c r="P99"/>
  <c r="O117"/>
  <c r="P117"/>
  <c r="O12"/>
  <c r="P12"/>
  <c r="O46"/>
  <c r="P46"/>
  <c r="O31"/>
  <c r="P31"/>
  <c r="O4"/>
  <c r="P4"/>
  <c r="O28"/>
  <c r="P28"/>
  <c r="O118"/>
  <c r="P118"/>
  <c r="O30"/>
  <c r="P30"/>
  <c r="O47"/>
  <c r="P47"/>
  <c r="O69"/>
  <c r="P69"/>
  <c r="O38"/>
  <c r="P38"/>
  <c r="O122"/>
  <c r="P122"/>
  <c r="O113"/>
  <c r="P113"/>
  <c r="G109"/>
  <c r="H109"/>
  <c r="H5"/>
  <c r="G5"/>
  <c r="H82"/>
  <c r="G82"/>
  <c r="H142"/>
  <c r="G142"/>
  <c r="H88"/>
  <c r="G88"/>
  <c r="H16"/>
  <c r="G16"/>
  <c r="H108"/>
  <c r="G108"/>
  <c r="H141"/>
  <c r="G141"/>
  <c r="H143"/>
  <c r="G143"/>
  <c r="H102"/>
  <c r="G102"/>
  <c r="H135"/>
  <c r="G135"/>
  <c r="H134"/>
  <c r="G134"/>
  <c r="H133"/>
  <c r="G133"/>
  <c r="H132"/>
  <c r="G132"/>
  <c r="H79"/>
  <c r="G79"/>
  <c r="H128"/>
  <c r="G128"/>
  <c r="H110"/>
  <c r="G110"/>
  <c r="H6"/>
  <c r="G6"/>
  <c r="H111"/>
  <c r="G111"/>
  <c r="H76"/>
  <c r="G76"/>
  <c r="H80"/>
  <c r="G80"/>
  <c r="H11"/>
  <c r="G11"/>
  <c r="H93"/>
  <c r="G93"/>
  <c r="H10"/>
  <c r="G10"/>
  <c r="H34"/>
  <c r="G34"/>
  <c r="H99"/>
  <c r="G99"/>
  <c r="H117"/>
  <c r="G117"/>
  <c r="H12"/>
  <c r="G12"/>
  <c r="H46"/>
  <c r="G46"/>
  <c r="H31"/>
  <c r="G31"/>
  <c r="H4"/>
  <c r="G4"/>
  <c r="H28"/>
  <c r="G28"/>
  <c r="H118"/>
  <c r="G118"/>
  <c r="H30"/>
  <c r="G30"/>
  <c r="H47"/>
  <c r="G47"/>
  <c r="H69"/>
  <c r="G69"/>
  <c r="H38"/>
  <c r="G38"/>
  <c r="H122"/>
  <c r="G122"/>
  <c r="H113"/>
  <c r="G113"/>
  <c r="V40"/>
  <c r="V74"/>
  <c r="V13"/>
  <c r="V86"/>
  <c r="V100"/>
  <c r="V144"/>
  <c r="V29"/>
  <c r="V126"/>
  <c r="V64"/>
  <c r="W40"/>
  <c r="W74"/>
  <c r="W13"/>
  <c r="W86"/>
  <c r="W100"/>
  <c r="W144"/>
  <c r="W29"/>
  <c r="W126"/>
  <c r="W64"/>
  <c r="O74"/>
  <c r="P74"/>
  <c r="O13"/>
  <c r="P13"/>
  <c r="O86"/>
  <c r="P86"/>
  <c r="O100"/>
  <c r="P100"/>
  <c r="O144"/>
  <c r="P144"/>
  <c r="O29"/>
  <c r="P29"/>
  <c r="O126"/>
  <c r="P126"/>
  <c r="O64"/>
  <c r="P64"/>
  <c r="G40"/>
  <c r="G74"/>
  <c r="G13"/>
  <c r="G86"/>
  <c r="G100"/>
  <c r="G144"/>
  <c r="G29"/>
  <c r="G126"/>
  <c r="G64"/>
  <c r="H40"/>
  <c r="H74"/>
  <c r="H13"/>
  <c r="H86"/>
  <c r="H100"/>
  <c r="H144"/>
  <c r="H29"/>
  <c r="H126"/>
  <c r="H64"/>
  <c r="H148" l="1"/>
  <c r="V148"/>
  <c r="G148"/>
  <c r="W148"/>
  <c r="O148"/>
  <c r="P148"/>
</calcChain>
</file>

<file path=xl/comments1.xml><?xml version="1.0" encoding="utf-8"?>
<comments xmlns="http://schemas.openxmlformats.org/spreadsheetml/2006/main">
  <authors>
    <author>Rebecca Stimson</author>
  </authors>
  <commentList>
    <comment ref="B5" authorId="0">
      <text>
        <r>
          <rPr>
            <b/>
            <sz val="9"/>
            <color indexed="81"/>
            <rFont val="Tahoma"/>
            <family val="2"/>
          </rPr>
          <t>Rebecca Stimson:</t>
        </r>
        <r>
          <rPr>
            <sz val="9"/>
            <color indexed="81"/>
            <rFont val="Tahoma"/>
            <family val="2"/>
          </rPr>
          <t xml:space="preserve">
Impervious and Pervious Area information taken from "Individual Properties 2015" Sheet: original data from homeowner applications and impervious area mapping</t>
        </r>
      </text>
    </comment>
    <comment ref="D5" authorId="0">
      <text>
        <r>
          <rPr>
            <b/>
            <sz val="9"/>
            <color indexed="81"/>
            <rFont val="Tahoma"/>
            <family val="2"/>
          </rPr>
          <t>Rebecca Stimson:</t>
        </r>
        <r>
          <rPr>
            <sz val="9"/>
            <color indexed="81"/>
            <rFont val="Tahoma"/>
            <family val="2"/>
          </rPr>
          <t xml:space="preserve">
Used Chesapeake Bay TMDL Guidance Loading Methodology</t>
        </r>
      </text>
    </comment>
    <comment ref="B7" authorId="0">
      <text>
        <r>
          <rPr>
            <b/>
            <sz val="9"/>
            <color indexed="81"/>
            <rFont val="Tahoma"/>
            <family val="2"/>
          </rPr>
          <t>Rebecca Stimson:</t>
        </r>
        <r>
          <rPr>
            <sz val="9"/>
            <color indexed="81"/>
            <rFont val="Tahoma"/>
            <family val="2"/>
          </rPr>
          <t xml:space="preserve">
Total of all roof areas draining to disconnected downspouts from "Individual Properties 2015" Sheet</t>
        </r>
      </text>
    </comment>
    <comment ref="B8" authorId="0">
      <text>
        <r>
          <rPr>
            <b/>
            <sz val="9"/>
            <color indexed="81"/>
            <rFont val="Tahoma"/>
            <family val="2"/>
          </rPr>
          <t>Rebecca Stimson:</t>
        </r>
        <r>
          <rPr>
            <sz val="9"/>
            <color indexed="81"/>
            <rFont val="Tahoma"/>
            <family val="2"/>
          </rPr>
          <t xml:space="preserve">
Total of all roof area draining to a rain barrel or cistern from "Individual Properties 2015" Sheet</t>
        </r>
      </text>
    </comment>
    <comment ref="C9" authorId="0">
      <text>
        <r>
          <rPr>
            <b/>
            <sz val="9"/>
            <color indexed="81"/>
            <rFont val="Tahoma"/>
            <family val="2"/>
          </rPr>
          <t>Rebecca Stimson:</t>
        </r>
        <r>
          <rPr>
            <sz val="9"/>
            <color indexed="81"/>
            <rFont val="Tahoma"/>
            <family val="2"/>
          </rPr>
          <t xml:space="preserve">
Total of all pervious area managed by Homeowner Nutrient Management Agreement from "Individual Properties 2015" Sheet</t>
        </r>
      </text>
    </comment>
    <comment ref="B12" authorId="0">
      <text>
        <r>
          <rPr>
            <b/>
            <sz val="9"/>
            <color indexed="81"/>
            <rFont val="Tahoma"/>
            <family val="2"/>
          </rPr>
          <t>Rebecca Stimson:</t>
        </r>
        <r>
          <rPr>
            <sz val="9"/>
            <color indexed="81"/>
            <rFont val="Tahoma"/>
            <family val="2"/>
          </rPr>
          <t xml:space="preserve">
Used removal reates provided in Chesapeake Bay Program's Urban Stormwater Workgroup Memo "Background on the Crediting Protocols for Nutrient Reduction Associated with the Installation of Homeowner BMPs." January 4,2014 where information was available. Utilizes default efficiencies for BMP credit</t>
        </r>
      </text>
    </comment>
    <comment ref="B21" authorId="0">
      <text>
        <r>
          <rPr>
            <b/>
            <sz val="9"/>
            <color indexed="81"/>
            <rFont val="Tahoma"/>
            <family val="2"/>
          </rPr>
          <t>Rebecca Stimson:</t>
        </r>
        <r>
          <rPr>
            <sz val="9"/>
            <color indexed="81"/>
            <rFont val="Tahoma"/>
            <family val="2"/>
          </rPr>
          <t xml:space="preserve">
Compliance factors as discussed - may change based upon inspections</t>
        </r>
      </text>
    </comment>
  </commentList>
</comments>
</file>

<file path=xl/comments2.xml><?xml version="1.0" encoding="utf-8"?>
<comments xmlns="http://schemas.openxmlformats.org/spreadsheetml/2006/main">
  <authors>
    <author>Rebecca Stimson</author>
  </authors>
  <commentList>
    <comment ref="E1" authorId="0">
      <text>
        <r>
          <rPr>
            <b/>
            <sz val="9"/>
            <color indexed="81"/>
            <rFont val="Tahoma"/>
            <family val="2"/>
          </rPr>
          <t>Rebecca Stimson:</t>
        </r>
        <r>
          <rPr>
            <sz val="9"/>
            <color indexed="81"/>
            <rFont val="Tahoma"/>
            <family val="2"/>
          </rPr>
          <t xml:space="preserve">
Pollutant Loading Total P
</t>
        </r>
      </text>
    </comment>
    <comment ref="H1" authorId="0">
      <text>
        <r>
          <rPr>
            <b/>
            <sz val="9"/>
            <color indexed="81"/>
            <rFont val="Tahoma"/>
            <family val="2"/>
          </rPr>
          <t>Rebecca Stimson:</t>
        </r>
        <r>
          <rPr>
            <sz val="9"/>
            <color indexed="81"/>
            <rFont val="Tahoma"/>
            <family val="2"/>
          </rPr>
          <t xml:space="preserve">
Pollutant Reduction Total P</t>
        </r>
      </text>
    </comment>
  </commentList>
</comments>
</file>

<file path=xl/sharedStrings.xml><?xml version="1.0" encoding="utf-8"?>
<sst xmlns="http://schemas.openxmlformats.org/spreadsheetml/2006/main" count="221" uniqueCount="206">
  <si>
    <t>124 G 34</t>
  </si>
  <si>
    <t>40V2</t>
  </si>
  <si>
    <t>49 B 7</t>
  </si>
  <si>
    <t>9B8</t>
  </si>
  <si>
    <t>20 J 6</t>
  </si>
  <si>
    <t>77J16</t>
  </si>
  <si>
    <t>28Q5</t>
  </si>
  <si>
    <t>53G1</t>
  </si>
  <si>
    <t>10L32</t>
  </si>
  <si>
    <t>39M43</t>
  </si>
  <si>
    <t>41G 64, 65, 66, 67</t>
  </si>
  <si>
    <t>124-G-11</t>
  </si>
  <si>
    <t>97G19</t>
  </si>
  <si>
    <t>98B11</t>
  </si>
  <si>
    <t>51 F1</t>
  </si>
  <si>
    <t>84C16</t>
  </si>
  <si>
    <t xml:space="preserve">84C15 </t>
  </si>
  <si>
    <t>84B16</t>
  </si>
  <si>
    <t>84B15</t>
  </si>
  <si>
    <t>35R10A</t>
  </si>
  <si>
    <t>7C2</t>
  </si>
  <si>
    <t>114C2</t>
  </si>
  <si>
    <t>53N5</t>
  </si>
  <si>
    <t>35I2</t>
  </si>
  <si>
    <t>35V8</t>
  </si>
  <si>
    <t>53N35</t>
  </si>
  <si>
    <t>Rain Barrel</t>
  </si>
  <si>
    <t>123J14</t>
  </si>
  <si>
    <t>42O10</t>
  </si>
  <si>
    <t>123J13</t>
  </si>
  <si>
    <t>21H4</t>
  </si>
  <si>
    <t>48F21</t>
  </si>
  <si>
    <t>64A4</t>
  </si>
  <si>
    <t>123P1</t>
  </si>
  <si>
    <t>23V2</t>
  </si>
  <si>
    <t>20M9</t>
  </si>
  <si>
    <t>10K4</t>
  </si>
  <si>
    <t>1L10</t>
  </si>
  <si>
    <t>64B1</t>
  </si>
  <si>
    <t>20K3</t>
  </si>
  <si>
    <t>23Y24</t>
  </si>
  <si>
    <t>32H19</t>
  </si>
  <si>
    <t>22A27</t>
  </si>
  <si>
    <t>70B1</t>
  </si>
  <si>
    <t>53O38</t>
  </si>
  <si>
    <t>Roof Area</t>
  </si>
  <si>
    <t>Roof Drain Disconnection</t>
  </si>
  <si>
    <t>PL TP</t>
  </si>
  <si>
    <t>PL TN</t>
  </si>
  <si>
    <t>PL TSS</t>
  </si>
  <si>
    <t>PR TP</t>
  </si>
  <si>
    <t>PR TN</t>
  </si>
  <si>
    <t>Rain Barrel/Cistern</t>
  </si>
  <si>
    <t>47C157</t>
  </si>
  <si>
    <t>35C16</t>
  </si>
  <si>
    <t>32G12</t>
  </si>
  <si>
    <t>24G2</t>
  </si>
  <si>
    <t>9K4</t>
  </si>
  <si>
    <t>81D6</t>
  </si>
  <si>
    <t>42G6</t>
  </si>
  <si>
    <t>28N34</t>
  </si>
  <si>
    <t>40A19-40A21</t>
  </si>
  <si>
    <t>29P7</t>
  </si>
  <si>
    <t>23B29-23B30</t>
  </si>
  <si>
    <t>23B18-21</t>
  </si>
  <si>
    <t>73A12</t>
  </si>
  <si>
    <t>24A7-11</t>
  </si>
  <si>
    <t>124D19</t>
  </si>
  <si>
    <t>24F15</t>
  </si>
  <si>
    <t>28I1</t>
  </si>
  <si>
    <t>26S16</t>
  </si>
  <si>
    <t>21A13</t>
  </si>
  <si>
    <t>48A21</t>
  </si>
  <si>
    <t>48C3</t>
  </si>
  <si>
    <t>27Q12</t>
  </si>
  <si>
    <t>10F4</t>
  </si>
  <si>
    <t>22_E_10</t>
  </si>
  <si>
    <t>48C10-11</t>
  </si>
  <si>
    <t>29O9</t>
  </si>
  <si>
    <t>64B4</t>
  </si>
  <si>
    <t>23H22</t>
  </si>
  <si>
    <t>35K9</t>
  </si>
  <si>
    <t>52G3</t>
  </si>
  <si>
    <t>125B7</t>
  </si>
  <si>
    <t>77L10</t>
  </si>
  <si>
    <t>88B11</t>
  </si>
  <si>
    <t>123D1-4</t>
  </si>
  <si>
    <t>97G18</t>
  </si>
  <si>
    <t>69A48</t>
  </si>
  <si>
    <t>24F3</t>
  </si>
  <si>
    <t>36K2</t>
  </si>
  <si>
    <t>12B3</t>
  </si>
  <si>
    <t>31G16</t>
  </si>
  <si>
    <t>14D5</t>
  </si>
  <si>
    <t>124D15</t>
  </si>
  <si>
    <t>28N47</t>
  </si>
  <si>
    <t>51G9</t>
  </si>
  <si>
    <t>28P49</t>
  </si>
  <si>
    <t>80D65</t>
  </si>
  <si>
    <t>22I13</t>
  </si>
  <si>
    <t>53O11</t>
  </si>
  <si>
    <t>40Z54-55</t>
  </si>
  <si>
    <t>48D40</t>
  </si>
  <si>
    <t>84_E_18</t>
  </si>
  <si>
    <t>21C2 and 21C9</t>
  </si>
  <si>
    <t>92H28</t>
  </si>
  <si>
    <t>92H36</t>
  </si>
  <si>
    <t>23E4-6</t>
  </si>
  <si>
    <t>24O10</t>
  </si>
  <si>
    <t>12C5</t>
  </si>
  <si>
    <t>53O5</t>
  </si>
  <si>
    <t>33Q15</t>
  </si>
  <si>
    <t>51K3-5</t>
  </si>
  <si>
    <t>9C19</t>
  </si>
  <si>
    <t>24P6</t>
  </si>
  <si>
    <t>40N3</t>
  </si>
  <si>
    <t>17A16</t>
  </si>
  <si>
    <t>10F5</t>
  </si>
  <si>
    <t>65A9</t>
  </si>
  <si>
    <t>70B13</t>
  </si>
  <si>
    <t>70B6</t>
  </si>
  <si>
    <t>23D65</t>
  </si>
  <si>
    <t>24B22-24</t>
  </si>
  <si>
    <t>34C12</t>
  </si>
  <si>
    <t>35 C10</t>
  </si>
  <si>
    <t>11E1+2</t>
  </si>
  <si>
    <t>53O4</t>
  </si>
  <si>
    <t>11E19-20</t>
  </si>
  <si>
    <t>49A6</t>
  </si>
  <si>
    <t>51G24</t>
  </si>
  <si>
    <t>35P6</t>
  </si>
  <si>
    <t>21P1</t>
  </si>
  <si>
    <t>25B8</t>
  </si>
  <si>
    <t>92H34</t>
  </si>
  <si>
    <t>28C12-14</t>
  </si>
  <si>
    <t>51C2</t>
  </si>
  <si>
    <t>32T6</t>
  </si>
  <si>
    <t>22_E_16</t>
  </si>
  <si>
    <t>24D6</t>
  </si>
  <si>
    <t>62A1</t>
  </si>
  <si>
    <t>15I10</t>
  </si>
  <si>
    <t>14_E_9</t>
  </si>
  <si>
    <t>15G3</t>
  </si>
  <si>
    <t>41R93</t>
  </si>
  <si>
    <t>41R47</t>
  </si>
  <si>
    <t>41R50</t>
  </si>
  <si>
    <t>14N19</t>
  </si>
  <si>
    <t>14N16</t>
  </si>
  <si>
    <t>14N52</t>
  </si>
  <si>
    <t>40A27</t>
  </si>
  <si>
    <t>35 F8</t>
  </si>
  <si>
    <t>PL TP5</t>
  </si>
  <si>
    <t>PL TN6</t>
  </si>
  <si>
    <t>PL TSS7</t>
  </si>
  <si>
    <t>PR TP8</t>
  </si>
  <si>
    <t>PR TN9</t>
  </si>
  <si>
    <t>PL TP11</t>
  </si>
  <si>
    <t>PL TN12</t>
  </si>
  <si>
    <t>PL TSS13</t>
  </si>
  <si>
    <t>PR TP14</t>
  </si>
  <si>
    <t>PR TN15</t>
  </si>
  <si>
    <t>23 A 38 and 39</t>
  </si>
  <si>
    <t>53 L 19</t>
  </si>
  <si>
    <t>98C3 and 4</t>
  </si>
  <si>
    <t>Homeowner BMPs</t>
  </si>
  <si>
    <t>Site Calculations</t>
  </si>
  <si>
    <t>Area Draining to BMP</t>
  </si>
  <si>
    <t>Pollutant Loads</t>
  </si>
  <si>
    <t>Impervious Area (sf)</t>
  </si>
  <si>
    <t>Pervious Area (sf)</t>
  </si>
  <si>
    <t>TP Loading</t>
  </si>
  <si>
    <t>TN Loading</t>
  </si>
  <si>
    <t>Rain Barrel/ Cistern</t>
  </si>
  <si>
    <t>Homeowner Nutrient Mgmt</t>
  </si>
  <si>
    <t>Site Load Reductions</t>
  </si>
  <si>
    <t>Removal Rates</t>
  </si>
  <si>
    <t>Nutrient Load Reduced</t>
  </si>
  <si>
    <t>TP%</t>
  </si>
  <si>
    <t>TN%</t>
  </si>
  <si>
    <t>lbs TP/ yr</t>
  </si>
  <si>
    <t>lbs TN/ yr</t>
  </si>
  <si>
    <t>TOTAL</t>
  </si>
  <si>
    <t>Site Load Reductions with Compliance Factor</t>
  </si>
  <si>
    <t>Compliance Factor</t>
  </si>
  <si>
    <t>Nutrient Management</t>
  </si>
  <si>
    <t>[(204026.6 sq. ft / 43560 acre* 1.62) 0.52] 100%</t>
  </si>
  <si>
    <t>[(204026.6 sq.ft. /43560 acre* 16.68 ) 0.45] 100%</t>
  </si>
  <si>
    <r>
      <t>[(27836.8 sq. ft / 43560 acre</t>
    </r>
    <r>
      <rPr>
        <sz val="11"/>
        <color theme="1"/>
        <rFont val="Calibri"/>
        <family val="2"/>
        <scheme val="minor"/>
      </rPr>
      <t xml:space="preserve"> * 1.62 ) 0.33] 100%</t>
    </r>
  </si>
  <si>
    <r>
      <t>[(27836.8 sq. ft / 43560 acre</t>
    </r>
    <r>
      <rPr>
        <sz val="11"/>
        <color theme="1"/>
        <rFont val="Calibri"/>
        <family val="2"/>
        <scheme val="minor"/>
      </rPr>
      <t xml:space="preserve"> * 16.68 ) 0.41] 100%</t>
    </r>
  </si>
  <si>
    <r>
      <t>[(3154787.8 sq. ft / 43560</t>
    </r>
    <r>
      <rPr>
        <sz val="11"/>
        <color theme="1"/>
        <rFont val="Calibri"/>
        <family val="2"/>
        <scheme val="minor"/>
      </rPr>
      <t xml:space="preserve"> acre* 0.41) 0.03] 75%</t>
    </r>
  </si>
  <si>
    <r>
      <t>[(3154787.8</t>
    </r>
    <r>
      <rPr>
        <sz val="11"/>
        <color theme="1"/>
        <rFont val="Calibri"/>
        <family val="2"/>
        <scheme val="minor"/>
      </rPr>
      <t xml:space="preserve"> sq. ft / 43560 acre* 10.07 ) 0.06] 75%</t>
    </r>
  </si>
  <si>
    <t>Total Phosphorous Reduction (lbs TP /Yr)</t>
  </si>
  <si>
    <t>Total Nitrogen Reduction (lbs TP / Yr)</t>
  </si>
  <si>
    <t>Roof Drain and Rain Barrel Nutrient Load Reduction Calculations</t>
  </si>
  <si>
    <t>Nutrient Management Nutrient Load Reduction Calculations</t>
  </si>
  <si>
    <t>Nutrient Load Reduced w/ Compliance Factor</t>
  </si>
  <si>
    <r>
      <t xml:space="preserve">[(Acres of </t>
    </r>
    <r>
      <rPr>
        <sz val="11"/>
        <color rgb="FFFF0000"/>
        <rFont val="Calibri"/>
        <family val="2"/>
        <scheme val="minor"/>
      </rPr>
      <t>Impervious</t>
    </r>
    <r>
      <rPr>
        <sz val="11"/>
        <color theme="1"/>
        <rFont val="Calibri"/>
        <family val="2"/>
        <scheme val="minor"/>
      </rPr>
      <t xml:space="preserve"> Area * Nutrient Loading ) * Removal Rate] * Compliance Factor</t>
    </r>
  </si>
  <si>
    <r>
      <t xml:space="preserve">[(Acres of </t>
    </r>
    <r>
      <rPr>
        <sz val="11"/>
        <color rgb="FFFF0000"/>
        <rFont val="Calibri"/>
        <family val="2"/>
        <scheme val="minor"/>
      </rPr>
      <t>Pervious</t>
    </r>
    <r>
      <rPr>
        <sz val="11"/>
        <color theme="1"/>
        <rFont val="Calibri"/>
        <family val="2"/>
        <scheme val="minor"/>
      </rPr>
      <t xml:space="preserve"> Area * Nutrient Loading ) * Removal Rate] * Compliance Factor</t>
    </r>
  </si>
  <si>
    <t>Credit %</t>
  </si>
  <si>
    <t>Averages</t>
  </si>
  <si>
    <t>Totals</t>
  </si>
  <si>
    <t>Rain Barrel/Cistern Area</t>
  </si>
  <si>
    <t>Nutrient Mgt</t>
  </si>
  <si>
    <t xml:space="preserve"> </t>
  </si>
  <si>
    <t>PARCEL NUMBER</t>
  </si>
  <si>
    <t>Nutrient Mgt. Pervious Area</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</si>
</sst>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quot;$&quot;#,##0.00"/>
    <numFmt numFmtId="165" formatCode="0.0000"/>
    <numFmt numFmtId="166" formatCode="0.0"/>
    <numFmt numFmtId="167" formatCode="0.000"/>
  </numFmts>
  <fonts count="12">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sz val="11"/>
      <name val="Calibri"/>
      <family val="2"/>
      <scheme val="minor"/>
    </font>
    <font>
      <sz val="9"/>
      <color indexed="81"/>
      <name val="Tahoma"/>
      <family val="2"/>
    </font>
    <font>
      <b/>
      <sz val="9"/>
      <color indexed="81"/>
      <name val="Tahoma"/>
      <family val="2"/>
    </font>
    <font>
      <b/>
      <sz val="11"/>
      <name val="Calibri"/>
      <family val="2"/>
      <scheme val="minor"/>
    </font>
    <font>
      <b/>
      <sz val="14"/>
      <color theme="1"/>
      <name val="Calibri"/>
      <family val="2"/>
      <scheme val="minor"/>
    </font>
    <font>
      <b/>
      <u/>
      <sz val="14"/>
      <color theme="1"/>
      <name val="Calibri"/>
      <family val="2"/>
      <scheme val="minor"/>
    </font>
    <font>
      <sz val="11"/>
      <color rgb="FFFF0000"/>
      <name val="Calibri"/>
      <family val="2"/>
      <scheme val="minor"/>
    </font>
    <font>
      <b/>
      <sz val="24"/>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01">
    <xf numFmtId="0" fontId="0" fillId="0" borderId="0" xfId="0"/>
    <xf numFmtId="0" fontId="0" fillId="0" borderId="0" xfId="0" applyAlignment="1">
      <alignment wrapText="1"/>
    </xf>
    <xf numFmtId="0" fontId="0" fillId="0" borderId="0" xfId="0" applyNumberFormat="1" applyFill="1"/>
    <xf numFmtId="0" fontId="0" fillId="0" borderId="0" xfId="0" applyFill="1"/>
    <xf numFmtId="0" fontId="0" fillId="0" borderId="0" xfId="0" applyFill="1" applyAlignment="1">
      <alignment wrapText="1"/>
    </xf>
    <xf numFmtId="0" fontId="0" fillId="0" borderId="1" xfId="0" applyBorder="1"/>
    <xf numFmtId="0" fontId="1" fillId="0" borderId="1" xfId="0" applyFont="1" applyBorder="1"/>
    <xf numFmtId="0" fontId="0" fillId="0" borderId="0" xfId="0" applyBorder="1"/>
    <xf numFmtId="0" fontId="1" fillId="0" borderId="0" xfId="0" applyFont="1" applyBorder="1"/>
    <xf numFmtId="9" fontId="0" fillId="0" borderId="0" xfId="2" applyFont="1" applyFill="1"/>
    <xf numFmtId="165" fontId="0" fillId="0" borderId="0" xfId="0" applyNumberFormat="1" applyFill="1"/>
    <xf numFmtId="0" fontId="1" fillId="0" borderId="0" xfId="0" applyFont="1"/>
    <xf numFmtId="0" fontId="4" fillId="0" borderId="0" xfId="0" applyFont="1"/>
    <xf numFmtId="0" fontId="7" fillId="0" borderId="0" xfId="0" applyFont="1"/>
    <xf numFmtId="3" fontId="0" fillId="0" borderId="0" xfId="0" applyNumberFormat="1" applyBorder="1"/>
    <xf numFmtId="0" fontId="9" fillId="0" borderId="0" xfId="0" applyFont="1"/>
    <xf numFmtId="0" fontId="0" fillId="0" borderId="0" xfId="0" applyFill="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xf numFmtId="0" fontId="0" fillId="0" borderId="0" xfId="0" applyFill="1" applyBorder="1"/>
    <xf numFmtId="165" fontId="0" fillId="0" borderId="0" xfId="0" applyNumberFormat="1" applyFill="1" applyBorder="1"/>
    <xf numFmtId="0" fontId="0" fillId="0" borderId="1" xfId="0" applyFill="1" applyBorder="1"/>
    <xf numFmtId="0" fontId="1" fillId="0" borderId="0" xfId="0" applyFont="1" applyFill="1" applyBorder="1"/>
    <xf numFmtId="0" fontId="3" fillId="0" borderId="0" xfId="0" applyFont="1" applyFill="1" applyBorder="1"/>
    <xf numFmtId="0" fontId="7" fillId="0" borderId="0" xfId="0" applyFont="1" applyFill="1" applyBorder="1"/>
    <xf numFmtId="0" fontId="4" fillId="0" borderId="0" xfId="0" applyFont="1" applyFill="1" applyBorder="1"/>
    <xf numFmtId="44" fontId="4" fillId="0" borderId="0" xfId="0" applyNumberFormat="1" applyFont="1" applyFill="1" applyBorder="1"/>
    <xf numFmtId="0" fontId="3" fillId="0" borderId="0" xfId="0" applyFont="1" applyFill="1" applyBorder="1" applyAlignment="1">
      <alignment horizontal="right"/>
    </xf>
    <xf numFmtId="164" fontId="3" fillId="0" borderId="0" xfId="0" applyNumberFormat="1" applyFont="1" applyFill="1" applyBorder="1"/>
    <xf numFmtId="9" fontId="0" fillId="0" borderId="1" xfId="0" applyNumberFormat="1" applyBorder="1"/>
    <xf numFmtId="3" fontId="1" fillId="0" borderId="1" xfId="0" applyNumberFormat="1" applyFont="1" applyBorder="1"/>
    <xf numFmtId="0" fontId="1" fillId="0" borderId="1" xfId="0" applyFont="1" applyBorder="1" applyAlignment="1">
      <alignment wrapText="1"/>
    </xf>
    <xf numFmtId="0" fontId="1" fillId="0" borderId="1" xfId="0" applyFont="1" applyFill="1" applyBorder="1" applyAlignment="1">
      <alignment wrapText="1"/>
    </xf>
    <xf numFmtId="0" fontId="0" fillId="0" borderId="3" xfId="0" applyBorder="1"/>
    <xf numFmtId="2" fontId="0" fillId="0" borderId="1" xfId="0" applyNumberFormat="1" applyBorder="1"/>
    <xf numFmtId="0" fontId="1" fillId="2" borderId="1" xfId="0" applyFont="1" applyFill="1" applyBorder="1"/>
    <xf numFmtId="2" fontId="1" fillId="2" borderId="1" xfId="0" applyNumberFormat="1" applyFont="1" applyFill="1" applyBorder="1"/>
    <xf numFmtId="2" fontId="0" fillId="0" borderId="1" xfId="0" applyNumberFormat="1" applyFont="1" applyBorder="1"/>
    <xf numFmtId="4" fontId="0" fillId="0" borderId="1" xfId="0" applyNumberFormat="1" applyFont="1" applyBorder="1"/>
    <xf numFmtId="167" fontId="0" fillId="0" borderId="1" xfId="0" applyNumberFormat="1" applyFont="1" applyBorder="1" applyAlignment="1">
      <alignment horizontal="right"/>
    </xf>
    <xf numFmtId="0" fontId="0" fillId="0" borderId="0" xfId="0" applyFill="1" applyBorder="1" applyAlignment="1">
      <alignment horizontal="center"/>
    </xf>
    <xf numFmtId="0" fontId="0" fillId="0" borderId="0" xfId="0" applyFill="1" applyBorder="1" applyAlignment="1"/>
    <xf numFmtId="0" fontId="0" fillId="0" borderId="0" xfId="0" applyFon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4" borderId="7" xfId="0" applyFont="1" applyFill="1" applyBorder="1"/>
    <xf numFmtId="0" fontId="0" fillId="4" borderId="7" xfId="0" applyFill="1" applyBorder="1"/>
    <xf numFmtId="0" fontId="0" fillId="4" borderId="8" xfId="0" applyFont="1" applyFill="1" applyBorder="1"/>
    <xf numFmtId="0" fontId="0" fillId="5" borderId="5" xfId="0" applyFont="1" applyFill="1" applyBorder="1"/>
    <xf numFmtId="0" fontId="0" fillId="5" borderId="5" xfId="0" applyFill="1" applyBorder="1"/>
    <xf numFmtId="0" fontId="0" fillId="5" borderId="9" xfId="0" applyFont="1" applyFill="1" applyBorder="1"/>
    <xf numFmtId="0" fontId="0" fillId="4" borderId="7" xfId="0" applyFont="1" applyFill="1" applyBorder="1" applyAlignment="1"/>
    <xf numFmtId="0" fontId="0" fillId="4" borderId="8" xfId="0" applyFont="1" applyFill="1" applyBorder="1" applyAlignment="1"/>
    <xf numFmtId="0" fontId="1" fillId="0" borderId="4" xfId="0" applyFont="1" applyFill="1" applyBorder="1"/>
    <xf numFmtId="0" fontId="0" fillId="0" borderId="10" xfId="0" applyFill="1" applyBorder="1"/>
    <xf numFmtId="0" fontId="1" fillId="0" borderId="10" xfId="0" applyFont="1" applyFill="1" applyBorder="1"/>
    <xf numFmtId="0" fontId="0" fillId="4" borderId="4" xfId="0" applyFill="1" applyBorder="1"/>
    <xf numFmtId="0" fontId="0" fillId="5" borderId="10" xfId="0" applyFill="1" applyBorder="1"/>
    <xf numFmtId="2" fontId="0" fillId="0" borderId="2" xfId="0" applyNumberFormat="1" applyBorder="1"/>
    <xf numFmtId="0" fontId="1" fillId="0" borderId="0" xfId="0" applyFont="1" applyFill="1" applyBorder="1" applyAlignment="1">
      <alignment wrapText="1"/>
    </xf>
    <xf numFmtId="0" fontId="1" fillId="0" borderId="0" xfId="0" applyFont="1" applyAlignment="1">
      <alignment wrapText="1"/>
    </xf>
    <xf numFmtId="2" fontId="1" fillId="2" borderId="2" xfId="0" applyNumberFormat="1" applyFont="1" applyFill="1" applyBorder="1"/>
    <xf numFmtId="2" fontId="0" fillId="0" borderId="0" xfId="0" applyNumberFormat="1" applyFill="1" applyBorder="1"/>
    <xf numFmtId="2" fontId="1" fillId="0" borderId="0" xfId="0" applyNumberFormat="1" applyFont="1" applyFill="1" applyBorder="1"/>
    <xf numFmtId="2" fontId="0" fillId="0" borderId="6" xfId="0" applyNumberFormat="1" applyBorder="1"/>
    <xf numFmtId="2" fontId="0" fillId="0" borderId="2" xfId="0" applyNumberFormat="1" applyFont="1" applyBorder="1"/>
    <xf numFmtId="2" fontId="0" fillId="0" borderId="0" xfId="0" applyNumberFormat="1" applyFont="1" applyFill="1" applyBorder="1"/>
    <xf numFmtId="0" fontId="0" fillId="0" borderId="10" xfId="0" applyBorder="1"/>
    <xf numFmtId="0" fontId="0" fillId="3" borderId="1" xfId="0" applyFill="1" applyBorder="1"/>
    <xf numFmtId="0" fontId="11" fillId="2" borderId="1" xfId="0" applyFont="1" applyFill="1" applyBorder="1"/>
    <xf numFmtId="2" fontId="11" fillId="2" borderId="2" xfId="0" applyNumberFormat="1" applyFont="1" applyFill="1" applyBorder="1"/>
    <xf numFmtId="4" fontId="11" fillId="2" borderId="1" xfId="0" applyNumberFormat="1" applyFont="1" applyFill="1" applyBorder="1"/>
    <xf numFmtId="0" fontId="8" fillId="0" borderId="0" xfId="0" applyFont="1" applyAlignment="1">
      <alignment vertical="center" wrapText="1"/>
    </xf>
    <xf numFmtId="0" fontId="0" fillId="0" borderId="0" xfId="0" applyNumberFormat="1" applyFill="1" applyAlignment="1">
      <alignment wrapText="1"/>
    </xf>
    <xf numFmtId="9" fontId="0" fillId="0" borderId="0" xfId="2" applyFont="1" applyFill="1" applyAlignment="1">
      <alignment wrapText="1"/>
    </xf>
    <xf numFmtId="166" fontId="0" fillId="0" borderId="0" xfId="1" applyNumberFormat="1" applyFont="1" applyFill="1" applyAlignment="1">
      <alignment wrapText="1"/>
    </xf>
    <xf numFmtId="165" fontId="0" fillId="0" borderId="0" xfId="0" applyNumberFormat="1" applyFill="1" applyAlignment="1">
      <alignment wrapText="1"/>
    </xf>
    <xf numFmtId="166" fontId="0" fillId="0" borderId="0" xfId="1" applyNumberFormat="1" applyFont="1" applyFill="1"/>
    <xf numFmtId="9" fontId="0" fillId="0" borderId="0" xfId="2" applyFont="1" applyFill="1" applyBorder="1"/>
    <xf numFmtId="0" fontId="0" fillId="6" borderId="0" xfId="0" applyFill="1"/>
    <xf numFmtId="166" fontId="0" fillId="6" borderId="0" xfId="0" applyNumberFormat="1" applyFill="1"/>
    <xf numFmtId="166" fontId="0" fillId="6" borderId="0" xfId="1" applyNumberFormat="1" applyFont="1" applyFill="1"/>
    <xf numFmtId="0" fontId="0" fillId="6" borderId="0" xfId="0" applyNumberFormat="1" applyFill="1"/>
    <xf numFmtId="0" fontId="0" fillId="6" borderId="0" xfId="0" applyFill="1" applyBorder="1"/>
    <xf numFmtId="166" fontId="0" fillId="6" borderId="0" xfId="0" applyNumberFormat="1" applyFill="1" applyBorder="1"/>
    <xf numFmtId="0" fontId="0" fillId="7" borderId="0" xfId="0" applyFill="1"/>
    <xf numFmtId="166" fontId="0" fillId="7" borderId="0" xfId="0" applyNumberFormat="1" applyFill="1"/>
    <xf numFmtId="166" fontId="0" fillId="7" borderId="0" xfId="1" applyNumberFormat="1" applyFont="1" applyFill="1"/>
    <xf numFmtId="0" fontId="0" fillId="7" borderId="0" xfId="0" applyNumberFormat="1" applyFill="1"/>
    <xf numFmtId="0" fontId="0" fillId="7" borderId="0" xfId="0" applyFill="1" applyBorder="1"/>
    <xf numFmtId="166" fontId="0" fillId="7" borderId="0" xfId="0" applyNumberFormat="1" applyFill="1" applyBorder="1"/>
    <xf numFmtId="1" fontId="0" fillId="6" borderId="0" xfId="0" applyNumberFormat="1" applyFill="1"/>
    <xf numFmtId="11" fontId="0" fillId="6" borderId="0" xfId="0" applyNumberFormat="1" applyFill="1"/>
    <xf numFmtId="0" fontId="0" fillId="6" borderId="0" xfId="0" applyNumberFormat="1" applyFill="1" applyBorder="1"/>
    <xf numFmtId="0" fontId="1" fillId="0" borderId="0" xfId="0" applyFont="1" applyBorder="1" applyAlignment="1">
      <alignment horizontal="center"/>
    </xf>
    <xf numFmtId="0" fontId="11" fillId="0" borderId="0" xfId="0" applyFont="1" applyAlignment="1">
      <alignment horizontal="center" vertical="center" wrapText="1"/>
    </xf>
    <xf numFmtId="3" fontId="1" fillId="0" borderId="0" xfId="0" applyNumberFormat="1" applyFont="1" applyBorder="1" applyAlignment="1">
      <alignment horizontal="center" wrapText="1"/>
    </xf>
    <xf numFmtId="0" fontId="1" fillId="0" borderId="5" xfId="0" applyFont="1" applyBorder="1" applyAlignment="1">
      <alignment horizontal="center" wrapText="1"/>
    </xf>
    <xf numFmtId="0" fontId="1" fillId="0" borderId="0" xfId="0" applyFont="1" applyBorder="1" applyAlignment="1">
      <alignment horizontal="center" wrapText="1"/>
    </xf>
    <xf numFmtId="0" fontId="0" fillId="0" borderId="0" xfId="0" applyFill="1" applyBorder="1" applyAlignment="1">
      <alignment horizontal="center"/>
    </xf>
  </cellXfs>
  <cellStyles count="3">
    <cellStyle name="Comma" xfId="1" builtinId="3"/>
    <cellStyle name="Normal" xfId="0" builtinId="0"/>
    <cellStyle name="Percent" xfId="2" builtinId="5"/>
  </cellStyles>
  <dxfs count="42">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numFmt numFmtId="166" formatCode="0.0"/>
      <fill>
        <patternFill patternType="solid">
          <fgColor indexed="64"/>
          <bgColor theme="4" tint="0.79998168889431442"/>
        </patternFill>
      </fill>
    </dxf>
    <dxf>
      <fill>
        <patternFill patternType="solid">
          <fgColor indexed="64"/>
          <bgColor theme="4" tint="0.79998168889431442"/>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numFmt numFmtId="166" formatCode="0.0"/>
      <fill>
        <patternFill patternType="solid">
          <fgColor indexed="64"/>
          <bgColor theme="3" tint="0.79998168889431442"/>
        </patternFill>
      </fill>
    </dxf>
    <dxf>
      <fill>
        <patternFill patternType="solid">
          <fgColor indexed="64"/>
          <bgColor theme="3" tint="0.79998168889431442"/>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5" formatCode="0.0000"/>
      <fill>
        <patternFill patternType="none">
          <fgColor indexed="64"/>
          <bgColor indexed="65"/>
        </patternFill>
      </fill>
    </dxf>
    <dxf>
      <numFmt numFmtId="165" formatCode="0.0000"/>
      <fill>
        <patternFill patternType="none">
          <fgColor indexed="64"/>
          <bgColor indexed="65"/>
        </patternFill>
      </fill>
    </dxf>
    <dxf>
      <numFmt numFmtId="166" formatCode="0.0"/>
      <fill>
        <patternFill patternType="solid">
          <fgColor indexed="64"/>
          <bgColor theme="4" tint="0.79998168889431442"/>
        </patternFill>
      </fill>
    </dxf>
    <dxf>
      <fill>
        <patternFill patternType="solid">
          <fgColor indexed="64"/>
          <bgColor theme="4" tint="0.79998168889431442"/>
        </patternFill>
      </fill>
    </dxf>
    <dxf>
      <font>
        <b val="0"/>
        <i val="0"/>
        <strike val="0"/>
        <condense val="0"/>
        <extend val="0"/>
        <outline val="0"/>
        <shadow val="0"/>
        <u val="none"/>
        <vertAlign val="baseline"/>
        <sz val="11"/>
        <color theme="1"/>
        <name val="Calibri"/>
        <scheme val="minor"/>
      </font>
    </dxf>
    <dxf>
      <fill>
        <patternFill patternType="none">
          <fgColor indexed="64"/>
          <bgColor auto="1"/>
        </patternFill>
      </fill>
    </dxf>
    <dxf>
      <numFmt numFmtId="0" formatCode="General"/>
      <fill>
        <patternFill patternType="solid">
          <fgColor indexed="64"/>
          <bgColor theme="3" tint="0.79998168889431442"/>
        </patternFill>
      </fill>
    </dxf>
    <dxf>
      <font>
        <b val="0"/>
        <i val="0"/>
        <strike val="0"/>
        <outline val="0"/>
        <shadow val="0"/>
        <vertAlign val="baseline"/>
        <sz val="11"/>
        <name val="Calibri"/>
        <scheme val="none"/>
      </font>
    </dxf>
    <dxf>
      <fill>
        <patternFill patternType="none">
          <fgColor indexed="64"/>
          <bgColor indexed="65"/>
        </patternFill>
      </fill>
      <alignment horizontal="general" vertical="top" textRotation="0" indent="0" relativeIndent="0" justifyLastLine="0" shrinkToFit="0" mergeCell="0" readingOrder="0"/>
    </dxf>
    <dxf>
      <fill>
        <patternFill patternType="none">
          <fgColor indexed="64"/>
          <bgColor indexed="65"/>
        </patternFill>
      </fill>
      <alignment horizontal="general" vertical="bottom" textRotation="0" wrapText="1" indent="0" relativeIndent="0" justifyLastLine="0" shrinkToFit="0" mergeCell="0" readingOrder="0"/>
    </dxf>
  </dxfs>
  <tableStyles count="0" defaultTableStyle="TableStyleMedium9" defaultPivotStyle="PivotStyleLight16"/>
  <colors>
    <mruColors>
      <color rgb="FF33CC33"/>
      <color rgb="FFFF7C8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W146" totalsRowShown="0" headerRowDxfId="41" dataDxfId="40" totalsRowDxfId="39">
  <autoFilter ref="A1:W146"/>
  <sortState ref="A2:AY147">
    <sortCondition ref="A1:A147"/>
  </sortState>
  <tableColumns count="23">
    <tableColumn id="3" name="PARCEL NUMBER" dataDxfId="38"/>
    <tableColumn id="21" name="Credit %" dataDxfId="37" totalsRowDxfId="36" dataCellStyle="Percent"/>
    <tableColumn id="24" name="Roof Drain Disconnection" dataDxfId="35"/>
    <tableColumn id="25" name="Roof Area" dataDxfId="34"/>
    <tableColumn id="29" name="PL TP" dataDxfId="33" totalsRowDxfId="32">
      <calculatedColumnFormula>(D2/43560)*1.62</calculatedColumnFormula>
    </tableColumn>
    <tableColumn id="30" name="PL TN" dataDxfId="31" totalsRowDxfId="30">
      <calculatedColumnFormula>(D2/43560)*16.86</calculatedColumnFormula>
    </tableColumn>
    <tableColumn id="31" name="PL TSS" dataDxfId="29" totalsRowDxfId="28">
      <calculatedColumnFormula>(D2/43560)*1171.32</calculatedColumnFormula>
    </tableColumn>
    <tableColumn id="32" name="PR TP" dataDxfId="27" totalsRowDxfId="26">
      <calculatedColumnFormula>E2*0.52</calculatedColumnFormula>
    </tableColumn>
    <tableColumn id="33" name="PR TN" dataDxfId="25" totalsRowDxfId="24">
      <calculatedColumnFormula>F2*0.45</calculatedColumnFormula>
    </tableColumn>
    <tableColumn id="35" name="Rain Barrel/Cistern" dataDxfId="23"/>
    <tableColumn id="36" name="Rain Barrel/Cistern Area" dataDxfId="22"/>
    <tableColumn id="39" name="PL TP5" dataDxfId="21" totalsRowDxfId="20">
      <calculatedColumnFormula>(K2/43560)*1.62</calculatedColumnFormula>
    </tableColumn>
    <tableColumn id="40" name="PL TN6" dataDxfId="19" totalsRowDxfId="18">
      <calculatedColumnFormula>(K2/43560)*16.86</calculatedColumnFormula>
    </tableColumn>
    <tableColumn id="41" name="PL TSS7" dataDxfId="17" totalsRowDxfId="16">
      <calculatedColumnFormula>(K2/43560)*1171.32</calculatedColumnFormula>
    </tableColumn>
    <tableColumn id="42" name="PR TP8" dataDxfId="15" totalsRowDxfId="14">
      <calculatedColumnFormula>L2*0.33</calculatedColumnFormula>
    </tableColumn>
    <tableColumn id="43" name="PR TN9" dataDxfId="13" totalsRowDxfId="12">
      <calculatedColumnFormula>M2*0.28</calculatedColumnFormula>
    </tableColumn>
    <tableColumn id="45" name="Nutrient Mgt" dataDxfId="11"/>
    <tableColumn id="46" name="Nutrient Mgt. Pervious Area" dataDxfId="10"/>
    <tableColumn id="47" name="PL TP11" dataDxfId="9" totalsRowDxfId="8">
      <calculatedColumnFormula>(R2/43560)*0.41</calculatedColumnFormula>
    </tableColumn>
    <tableColumn id="48" name="PL TN12" dataDxfId="7" totalsRowDxfId="6">
      <calculatedColumnFormula>(R2/43560)*10.07</calculatedColumnFormula>
    </tableColumn>
    <tableColumn id="49" name="PL TSS13" dataDxfId="5" totalsRowDxfId="4">
      <calculatedColumnFormula>(R2/43560)*175.8</calculatedColumnFormula>
    </tableColumn>
    <tableColumn id="50" name="PR TP14" dataDxfId="3" totalsRowDxfId="2">
      <calculatedColumnFormula>S2*0.03</calculatedColumnFormula>
    </tableColumn>
    <tableColumn id="51" name="PR TN15" dataDxfId="1" totalsRowDxfId="0">
      <calculatedColumnFormula>T2*0.06</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H26"/>
  <sheetViews>
    <sheetView workbookViewId="0">
      <selection activeCell="J22" sqref="J22"/>
    </sheetView>
  </sheetViews>
  <sheetFormatPr defaultRowHeight="15"/>
  <cols>
    <col min="1" max="1" width="28.28515625" customWidth="1"/>
    <col min="2" max="2" width="18.42578125" customWidth="1"/>
    <col min="3" max="3" width="19.140625" customWidth="1"/>
    <col min="4" max="4" width="23.140625" customWidth="1"/>
    <col min="5" max="5" width="13.42578125" customWidth="1"/>
    <col min="8" max="8" width="26.85546875" customWidth="1"/>
  </cols>
  <sheetData>
    <row r="1" spans="1:8" ht="15" customHeight="1">
      <c r="A1" s="96" t="s">
        <v>164</v>
      </c>
      <c r="B1" s="96"/>
      <c r="C1" s="96"/>
      <c r="D1" s="96"/>
      <c r="E1" s="96"/>
      <c r="F1" s="73"/>
      <c r="G1" s="73"/>
      <c r="H1" s="73"/>
    </row>
    <row r="2" spans="1:8" ht="15" customHeight="1">
      <c r="A2" s="96"/>
      <c r="B2" s="96"/>
      <c r="C2" s="96"/>
      <c r="D2" s="96"/>
      <c r="E2" s="96"/>
      <c r="F2" s="73"/>
      <c r="G2" s="73"/>
      <c r="H2" s="73"/>
    </row>
    <row r="4" spans="1:8">
      <c r="B4" s="14"/>
      <c r="C4" s="7"/>
      <c r="D4" s="7"/>
    </row>
    <row r="5" spans="1:8" ht="18.75" customHeight="1">
      <c r="A5" s="15" t="s">
        <v>165</v>
      </c>
      <c r="B5" s="98" t="s">
        <v>166</v>
      </c>
      <c r="C5" s="98"/>
      <c r="D5" s="98" t="s">
        <v>167</v>
      </c>
      <c r="E5" s="98"/>
      <c r="G5" s="61"/>
      <c r="H5" s="1"/>
    </row>
    <row r="6" spans="1:8" ht="30">
      <c r="A6" s="5"/>
      <c r="B6" s="32" t="s">
        <v>168</v>
      </c>
      <c r="C6" s="32" t="s">
        <v>169</v>
      </c>
      <c r="D6" s="33" t="s">
        <v>170</v>
      </c>
      <c r="E6" s="33" t="s">
        <v>171</v>
      </c>
      <c r="G6" s="60"/>
      <c r="H6" s="16"/>
    </row>
    <row r="7" spans="1:8">
      <c r="A7" s="5" t="s">
        <v>46</v>
      </c>
      <c r="B7" s="69">
        <f>SUM(Table2[Roof Area])</f>
        <v>204026.59999999998</v>
      </c>
      <c r="C7" s="34"/>
      <c r="D7" s="35">
        <f>(B7/43560)*1.62</f>
        <v>7.5877661157024789</v>
      </c>
      <c r="E7" s="35">
        <f>(B7/43560)*16.86</f>
        <v>78.968973278236902</v>
      </c>
      <c r="G7" s="19"/>
    </row>
    <row r="8" spans="1:8">
      <c r="A8" s="5" t="s">
        <v>172</v>
      </c>
      <c r="B8" s="69">
        <f>SUM(Table2[Rain Barrel/Cistern Area])</f>
        <v>27836.799999999999</v>
      </c>
      <c r="C8" s="34"/>
      <c r="D8" s="35">
        <f t="shared" ref="D8" si="0">(B8/43560)*1.62</f>
        <v>1.0352528925619835</v>
      </c>
      <c r="E8" s="35">
        <f t="shared" ref="E8" si="1">(B8/43560)*16.86</f>
        <v>10.774298622589532</v>
      </c>
      <c r="G8" s="19"/>
    </row>
    <row r="9" spans="1:8">
      <c r="A9" s="5" t="s">
        <v>173</v>
      </c>
      <c r="B9" s="34"/>
      <c r="C9" s="69">
        <f>SUM(Table2[Nutrient Mgt. Pervious Area])</f>
        <v>3154787.8000000003</v>
      </c>
      <c r="D9" s="35">
        <f>(C9/43560)*0.41</f>
        <v>29.693824563820019</v>
      </c>
      <c r="E9" s="35">
        <f>(C9/43560)*10.07</f>
        <v>729.30930087236004</v>
      </c>
      <c r="G9" s="19"/>
    </row>
    <row r="10" spans="1:8">
      <c r="C10" s="7"/>
      <c r="D10" s="7"/>
    </row>
    <row r="11" spans="1:8">
      <c r="B11" s="17"/>
      <c r="C11" s="17"/>
      <c r="D11" s="17"/>
      <c r="E11" s="18"/>
      <c r="F11" s="17"/>
    </row>
    <row r="12" spans="1:8" ht="18.75" customHeight="1">
      <c r="A12" s="15" t="s">
        <v>174</v>
      </c>
      <c r="B12" s="97" t="s">
        <v>175</v>
      </c>
      <c r="C12" s="97"/>
      <c r="D12" s="99" t="s">
        <v>176</v>
      </c>
      <c r="E12" s="99"/>
      <c r="F12" s="60"/>
      <c r="H12" s="1"/>
    </row>
    <row r="13" spans="1:8">
      <c r="A13" s="68"/>
      <c r="B13" s="6" t="s">
        <v>177</v>
      </c>
      <c r="C13" s="31" t="s">
        <v>178</v>
      </c>
      <c r="D13" s="6" t="s">
        <v>179</v>
      </c>
      <c r="E13" s="31" t="s">
        <v>180</v>
      </c>
      <c r="F13" s="23"/>
      <c r="H13" s="8"/>
    </row>
    <row r="14" spans="1:8">
      <c r="A14" s="5" t="s">
        <v>46</v>
      </c>
      <c r="B14" s="30">
        <v>0.52</v>
      </c>
      <c r="C14" s="30">
        <v>0.45</v>
      </c>
      <c r="D14" s="59">
        <f t="shared" ref="D14:E16" si="2">D7*B14</f>
        <v>3.9456383801652892</v>
      </c>
      <c r="E14" s="35">
        <f t="shared" si="2"/>
        <v>35.536037975206604</v>
      </c>
      <c r="F14" s="63"/>
      <c r="H14" s="19"/>
    </row>
    <row r="15" spans="1:8">
      <c r="A15" s="5" t="s">
        <v>172</v>
      </c>
      <c r="B15" s="30">
        <v>0.33</v>
      </c>
      <c r="C15" s="30">
        <v>0.28000000000000003</v>
      </c>
      <c r="D15" s="59">
        <f t="shared" si="2"/>
        <v>0.34163345454545457</v>
      </c>
      <c r="E15" s="35">
        <f t="shared" si="2"/>
        <v>3.0168036143250694</v>
      </c>
      <c r="F15" s="63"/>
    </row>
    <row r="16" spans="1:8">
      <c r="A16" s="5" t="s">
        <v>173</v>
      </c>
      <c r="B16" s="30">
        <v>0.03</v>
      </c>
      <c r="C16" s="30">
        <v>0.06</v>
      </c>
      <c r="D16" s="65">
        <f t="shared" si="2"/>
        <v>0.89081473691460056</v>
      </c>
      <c r="E16" s="35">
        <f t="shared" si="2"/>
        <v>43.758558052341598</v>
      </c>
      <c r="F16" s="63"/>
    </row>
    <row r="17" spans="1:6">
      <c r="A17" s="5"/>
      <c r="B17" s="5"/>
      <c r="C17" s="36" t="s">
        <v>181</v>
      </c>
      <c r="D17" s="62">
        <f>SUM(D14:D16)</f>
        <v>5.1780865716253439</v>
      </c>
      <c r="E17" s="37">
        <f>SUM(E14:E16)</f>
        <v>82.311399641873265</v>
      </c>
      <c r="F17" s="64"/>
    </row>
    <row r="18" spans="1:6">
      <c r="B18" s="19"/>
      <c r="C18" s="19"/>
      <c r="D18" s="19"/>
      <c r="F18" s="20"/>
    </row>
    <row r="19" spans="1:6">
      <c r="B19" s="19"/>
      <c r="C19" s="19"/>
      <c r="D19" s="19"/>
    </row>
    <row r="20" spans="1:6" ht="18.75">
      <c r="A20" s="15" t="s">
        <v>182</v>
      </c>
      <c r="B20" s="17"/>
      <c r="C20" s="17"/>
      <c r="D20" s="17"/>
      <c r="E20" s="18"/>
      <c r="F20" s="17"/>
    </row>
    <row r="21" spans="1:6">
      <c r="A21" s="7"/>
      <c r="B21" s="8" t="s">
        <v>183</v>
      </c>
      <c r="C21" s="95" t="s">
        <v>195</v>
      </c>
      <c r="D21" s="95"/>
      <c r="E21" s="42"/>
    </row>
    <row r="22" spans="1:6">
      <c r="A22" s="7"/>
      <c r="B22" s="5"/>
      <c r="C22" s="6" t="s">
        <v>179</v>
      </c>
      <c r="D22" s="31" t="s">
        <v>180</v>
      </c>
      <c r="E22" s="23"/>
    </row>
    <row r="23" spans="1:6" ht="19.5" customHeight="1">
      <c r="A23" s="5" t="s">
        <v>46</v>
      </c>
      <c r="B23" s="30">
        <v>1</v>
      </c>
      <c r="C23" s="38">
        <f>D14*B23</f>
        <v>3.9456383801652892</v>
      </c>
      <c r="D23" s="39">
        <f>E14*B23</f>
        <v>35.536037975206604</v>
      </c>
      <c r="E23" s="43"/>
    </row>
    <row r="24" spans="1:6">
      <c r="A24" s="5" t="s">
        <v>52</v>
      </c>
      <c r="B24" s="30">
        <v>1</v>
      </c>
      <c r="C24" s="66">
        <f>D15*B24</f>
        <v>0.34163345454545457</v>
      </c>
      <c r="D24" s="40">
        <f>E15*B24</f>
        <v>3.0168036143250694</v>
      </c>
      <c r="E24" s="67"/>
    </row>
    <row r="25" spans="1:6">
      <c r="A25" s="22" t="s">
        <v>173</v>
      </c>
      <c r="B25" s="30">
        <v>0.75</v>
      </c>
      <c r="C25" s="66">
        <f>D16*B25</f>
        <v>0.66811105268595039</v>
      </c>
      <c r="D25" s="38">
        <f>E16*B25</f>
        <v>32.818918539256202</v>
      </c>
      <c r="E25" s="43"/>
    </row>
    <row r="26" spans="1:6" ht="31.5">
      <c r="A26" s="5"/>
      <c r="B26" s="70" t="s">
        <v>181</v>
      </c>
      <c r="C26" s="71">
        <f>SUM(C23:C25)</f>
        <v>4.9553828873966941</v>
      </c>
      <c r="D26" s="72">
        <f>SUM(D23:D25)</f>
        <v>71.371760128787884</v>
      </c>
      <c r="E26" s="20"/>
    </row>
  </sheetData>
  <mergeCells count="6">
    <mergeCell ref="C21:D21"/>
    <mergeCell ref="A1:E2"/>
    <mergeCell ref="B12:C12"/>
    <mergeCell ref="B5:C5"/>
    <mergeCell ref="D5:E5"/>
    <mergeCell ref="D12:E1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N28"/>
  <sheetViews>
    <sheetView workbookViewId="0">
      <selection activeCell="B16" sqref="B16"/>
    </sheetView>
  </sheetViews>
  <sheetFormatPr defaultRowHeight="15"/>
  <cols>
    <col min="1" max="1" width="23.140625" customWidth="1"/>
    <col min="2" max="2" width="38.28515625" customWidth="1"/>
    <col min="3" max="3" width="13" customWidth="1"/>
    <col min="4" max="4" width="18.5703125" customWidth="1"/>
    <col min="5" max="5" width="15.5703125" customWidth="1"/>
    <col min="6" max="6" width="19" customWidth="1"/>
    <col min="7" max="7" width="16.5703125" customWidth="1"/>
    <col min="8" max="8" width="14.5703125" customWidth="1"/>
  </cols>
  <sheetData>
    <row r="1" spans="1:14" s="12" customFormat="1">
      <c r="A1" s="25"/>
      <c r="B1" s="26"/>
      <c r="C1" s="26"/>
      <c r="D1" s="26"/>
      <c r="E1" s="26"/>
      <c r="F1" s="26"/>
      <c r="G1" s="26"/>
      <c r="H1" s="26"/>
      <c r="I1" s="26"/>
      <c r="J1" s="26"/>
      <c r="K1" s="26"/>
    </row>
    <row r="2" spans="1:14" s="12" customFormat="1">
      <c r="A2" s="25" t="s">
        <v>193</v>
      </c>
      <c r="B2" s="26"/>
      <c r="C2" s="43" t="s">
        <v>196</v>
      </c>
      <c r="D2" s="26"/>
      <c r="E2" s="26"/>
      <c r="F2" s="26"/>
      <c r="G2" s="26"/>
      <c r="H2" s="26"/>
      <c r="I2" s="26"/>
      <c r="J2" s="26"/>
      <c r="K2" s="26"/>
    </row>
    <row r="3" spans="1:14">
      <c r="A3" s="23" t="s">
        <v>194</v>
      </c>
      <c r="B3" s="20"/>
      <c r="C3" s="43" t="s">
        <v>197</v>
      </c>
      <c r="D3" s="43"/>
      <c r="E3" s="43"/>
      <c r="F3" s="43"/>
      <c r="G3" s="43"/>
      <c r="H3" s="20"/>
      <c r="I3" s="20"/>
      <c r="J3" s="20"/>
      <c r="K3" s="20"/>
    </row>
    <row r="4" spans="1:14">
      <c r="A4" s="20"/>
      <c r="B4" s="20"/>
      <c r="C4" s="23"/>
      <c r="D4" s="20"/>
      <c r="E4" s="20"/>
      <c r="F4" s="20"/>
      <c r="G4" s="20"/>
      <c r="H4" s="20"/>
      <c r="I4" s="20"/>
      <c r="J4" s="20"/>
      <c r="K4" s="20"/>
    </row>
    <row r="5" spans="1:14" s="11" customFormat="1">
      <c r="A5" s="54" t="s">
        <v>46</v>
      </c>
      <c r="B5" s="57" t="s">
        <v>191</v>
      </c>
      <c r="C5" s="47" t="s">
        <v>185</v>
      </c>
      <c r="D5" s="46"/>
      <c r="E5" s="48"/>
      <c r="F5" s="43"/>
      <c r="G5" s="43"/>
      <c r="H5" s="23"/>
      <c r="I5" s="23"/>
      <c r="J5" s="23"/>
      <c r="K5" s="23"/>
    </row>
    <row r="6" spans="1:14">
      <c r="A6" s="55"/>
      <c r="B6" s="58" t="s">
        <v>192</v>
      </c>
      <c r="C6" s="50" t="s">
        <v>186</v>
      </c>
      <c r="D6" s="49"/>
      <c r="E6" s="51"/>
      <c r="F6" s="43"/>
      <c r="G6" s="43"/>
      <c r="H6" s="20"/>
      <c r="I6" s="20"/>
      <c r="J6" s="20"/>
      <c r="K6" s="20"/>
    </row>
    <row r="7" spans="1:14">
      <c r="A7" s="20"/>
      <c r="B7" s="44"/>
      <c r="C7" s="27"/>
      <c r="D7" s="43"/>
      <c r="E7" s="43"/>
      <c r="F7" s="43"/>
      <c r="G7" s="43"/>
      <c r="H7" s="20"/>
      <c r="I7" s="20"/>
      <c r="J7" s="20"/>
      <c r="K7" s="20"/>
    </row>
    <row r="8" spans="1:14">
      <c r="A8" s="54" t="s">
        <v>26</v>
      </c>
      <c r="B8" s="57" t="s">
        <v>191</v>
      </c>
      <c r="C8" s="47" t="s">
        <v>187</v>
      </c>
      <c r="D8" s="46"/>
      <c r="E8" s="48"/>
      <c r="F8" s="43"/>
      <c r="G8" s="43"/>
      <c r="H8" s="20"/>
      <c r="I8" s="20"/>
      <c r="J8" s="20"/>
      <c r="K8" s="20"/>
    </row>
    <row r="9" spans="1:14" s="11" customFormat="1">
      <c r="A9" s="56"/>
      <c r="B9" s="58" t="s">
        <v>192</v>
      </c>
      <c r="C9" s="50" t="s">
        <v>188</v>
      </c>
      <c r="D9" s="49"/>
      <c r="E9" s="51"/>
      <c r="F9" s="43"/>
      <c r="G9" s="43"/>
      <c r="H9" s="23"/>
      <c r="I9" s="23"/>
      <c r="J9" s="23"/>
      <c r="K9" s="23"/>
    </row>
    <row r="10" spans="1:14" s="11" customFormat="1">
      <c r="A10" s="23"/>
      <c r="B10" s="43"/>
      <c r="C10" s="43"/>
      <c r="D10" s="43"/>
      <c r="E10" s="43"/>
      <c r="F10" s="43"/>
      <c r="G10" s="43"/>
      <c r="H10" s="23"/>
      <c r="I10" s="23"/>
      <c r="J10" s="23"/>
      <c r="K10" s="23"/>
    </row>
    <row r="11" spans="1:14">
      <c r="A11" s="54" t="s">
        <v>184</v>
      </c>
      <c r="B11" s="57" t="s">
        <v>191</v>
      </c>
      <c r="C11" s="47" t="s">
        <v>189</v>
      </c>
      <c r="D11" s="52"/>
      <c r="E11" s="53"/>
      <c r="F11" s="45"/>
      <c r="G11" s="45"/>
      <c r="H11" s="41"/>
      <c r="I11" s="20"/>
      <c r="J11" s="20"/>
      <c r="K11" s="20"/>
    </row>
    <row r="12" spans="1:14">
      <c r="A12" s="55"/>
      <c r="B12" s="58" t="s">
        <v>192</v>
      </c>
      <c r="C12" s="50" t="s">
        <v>190</v>
      </c>
      <c r="D12" s="49"/>
      <c r="E12" s="51"/>
      <c r="F12" s="43"/>
      <c r="G12" s="43"/>
      <c r="H12" s="23"/>
      <c r="I12" s="20"/>
      <c r="J12" s="20"/>
      <c r="K12" s="20"/>
    </row>
    <row r="13" spans="1:14">
      <c r="A13" s="20"/>
      <c r="B13" s="23"/>
      <c r="C13" s="20"/>
      <c r="D13" s="20"/>
      <c r="E13" s="20"/>
      <c r="F13" s="20"/>
      <c r="G13" s="20"/>
      <c r="H13" s="20"/>
      <c r="I13" s="20"/>
      <c r="J13" s="20"/>
      <c r="K13" s="20"/>
      <c r="L13" s="7"/>
      <c r="M13" s="7"/>
      <c r="N13" s="7"/>
    </row>
    <row r="14" spans="1:14">
      <c r="A14" s="20"/>
      <c r="B14" s="23"/>
      <c r="C14" s="20"/>
      <c r="D14" s="20"/>
      <c r="E14" s="20"/>
      <c r="F14" s="20"/>
      <c r="G14" s="20"/>
      <c r="H14" s="20"/>
      <c r="I14" s="20"/>
      <c r="J14" s="20"/>
      <c r="K14" s="20"/>
      <c r="L14" s="7"/>
      <c r="M14" s="7"/>
      <c r="N14" s="7"/>
    </row>
    <row r="15" spans="1:14">
      <c r="A15" s="20"/>
      <c r="B15" s="23"/>
      <c r="C15" s="20"/>
      <c r="D15" s="20"/>
      <c r="E15" s="20"/>
      <c r="F15" s="20"/>
      <c r="G15" s="20"/>
      <c r="H15" s="20"/>
      <c r="I15" s="20"/>
      <c r="J15" s="20"/>
      <c r="K15" s="20"/>
      <c r="L15" s="7"/>
      <c r="M15" s="7"/>
      <c r="N15" s="7"/>
    </row>
    <row r="16" spans="1:14">
      <c r="A16" s="25"/>
      <c r="B16" s="25"/>
      <c r="C16" s="25"/>
      <c r="D16" s="25"/>
      <c r="E16" s="25"/>
      <c r="F16" s="25"/>
      <c r="G16" s="13"/>
      <c r="H16" s="13"/>
      <c r="I16" s="13"/>
      <c r="J16" s="20"/>
      <c r="K16" s="20"/>
      <c r="L16" s="7"/>
      <c r="M16" s="7"/>
      <c r="N16" s="7"/>
    </row>
    <row r="17" spans="1:14" s="11" customFormat="1">
      <c r="A17" s="20"/>
      <c r="B17" s="20"/>
      <c r="C17" s="100"/>
      <c r="D17" s="100"/>
      <c r="E17" s="100"/>
      <c r="F17" s="42"/>
      <c r="G17" s="42"/>
      <c r="H17" s="42"/>
      <c r="I17"/>
      <c r="J17" s="23"/>
      <c r="K17" s="23"/>
      <c r="L17" s="8"/>
      <c r="M17" s="8"/>
      <c r="N17" s="8"/>
    </row>
    <row r="18" spans="1:14" s="11" customFormat="1">
      <c r="A18" s="20"/>
      <c r="B18" s="20"/>
      <c r="C18" s="23"/>
      <c r="D18" s="23"/>
      <c r="E18" s="23"/>
      <c r="F18" s="23"/>
      <c r="G18" s="23"/>
      <c r="H18" s="23"/>
      <c r="I18"/>
      <c r="J18" s="23"/>
      <c r="K18" s="23"/>
      <c r="L18" s="8"/>
      <c r="M18" s="8"/>
      <c r="N18" s="8"/>
    </row>
    <row r="19" spans="1:14">
      <c r="A19" s="20"/>
      <c r="B19" s="23"/>
      <c r="C19" s="20"/>
      <c r="D19" s="20"/>
      <c r="E19" s="20"/>
      <c r="F19" s="20"/>
      <c r="G19" s="20"/>
      <c r="H19" s="20"/>
      <c r="J19" s="20"/>
      <c r="K19" s="20"/>
      <c r="L19" s="7"/>
      <c r="M19" s="7"/>
      <c r="N19" s="7"/>
    </row>
    <row r="20" spans="1:14">
      <c r="A20" s="20"/>
      <c r="B20" s="23"/>
      <c r="C20" s="20"/>
      <c r="D20" s="20"/>
      <c r="E20" s="20"/>
      <c r="F20" s="20"/>
      <c r="G20" s="20"/>
      <c r="H20" s="20"/>
      <c r="J20" s="20"/>
      <c r="K20" s="20"/>
      <c r="L20" s="7"/>
      <c r="M20" s="7"/>
      <c r="N20" s="7"/>
    </row>
    <row r="21" spans="1:14">
      <c r="A21" s="20"/>
      <c r="B21" s="23"/>
      <c r="C21" s="20"/>
      <c r="D21" s="20"/>
      <c r="E21" s="20"/>
      <c r="F21" s="20"/>
      <c r="G21" s="20"/>
      <c r="H21" s="20"/>
      <c r="J21" s="20"/>
      <c r="K21" s="20"/>
      <c r="L21" s="7"/>
      <c r="M21" s="7"/>
      <c r="N21" s="7"/>
    </row>
    <row r="22" spans="1:14">
      <c r="A22" s="20"/>
      <c r="B22" s="20"/>
      <c r="C22" s="20"/>
      <c r="D22" s="20"/>
      <c r="E22" s="20"/>
      <c r="F22" s="20"/>
      <c r="J22" s="20"/>
      <c r="K22" s="20"/>
      <c r="L22" s="7"/>
      <c r="M22" s="7"/>
      <c r="N22" s="7"/>
    </row>
    <row r="23" spans="1:14">
      <c r="A23" s="25"/>
      <c r="B23" s="25"/>
      <c r="C23" s="25"/>
      <c r="D23" s="25"/>
      <c r="E23" s="25"/>
      <c r="F23" s="25"/>
      <c r="G23" s="13"/>
      <c r="H23" s="13"/>
      <c r="I23" s="13"/>
      <c r="J23" s="20"/>
      <c r="K23" s="20"/>
      <c r="L23" s="7"/>
      <c r="M23" s="7"/>
      <c r="N23" s="7"/>
    </row>
    <row r="24" spans="1:14">
      <c r="A24" s="20"/>
      <c r="B24" s="20"/>
      <c r="C24" s="20"/>
      <c r="D24" s="20"/>
      <c r="E24" s="20"/>
      <c r="F24" s="23"/>
      <c r="G24" s="23"/>
      <c r="H24" s="23"/>
      <c r="J24" s="20"/>
      <c r="K24" s="20"/>
      <c r="L24" s="7"/>
      <c r="M24" s="7"/>
      <c r="N24" s="7"/>
    </row>
    <row r="25" spans="1:14">
      <c r="A25" s="20"/>
      <c r="B25" s="24"/>
      <c r="C25" s="24"/>
      <c r="D25" s="24"/>
      <c r="E25" s="28"/>
      <c r="F25" s="29"/>
      <c r="G25" s="29"/>
      <c r="H25" s="29"/>
      <c r="J25" s="20"/>
      <c r="K25" s="20"/>
      <c r="L25" s="7"/>
      <c r="M25" s="7"/>
      <c r="N25" s="7"/>
    </row>
    <row r="26" spans="1:14">
      <c r="A26" s="20"/>
      <c r="B26" s="24"/>
      <c r="C26" s="24"/>
      <c r="D26" s="24"/>
      <c r="E26" s="28"/>
      <c r="F26" s="29"/>
      <c r="G26" s="29"/>
      <c r="H26" s="29"/>
      <c r="J26" s="20"/>
      <c r="K26" s="20"/>
      <c r="L26" s="7"/>
      <c r="M26" s="7"/>
      <c r="N26" s="7"/>
    </row>
    <row r="27" spans="1:14">
      <c r="A27" s="20"/>
      <c r="B27" s="24"/>
      <c r="C27" s="24"/>
      <c r="D27" s="24"/>
      <c r="E27" s="28"/>
      <c r="F27" s="29"/>
      <c r="G27" s="29"/>
      <c r="H27" s="29"/>
      <c r="J27" s="20"/>
      <c r="K27" s="20"/>
      <c r="L27" s="7"/>
      <c r="M27" s="7"/>
      <c r="N27" s="7"/>
    </row>
    <row r="28" spans="1:14">
      <c r="J28" s="20"/>
      <c r="K28" s="20"/>
    </row>
  </sheetData>
  <mergeCells count="1">
    <mergeCell ref="C17:E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X149"/>
  <sheetViews>
    <sheetView tabSelected="1" workbookViewId="0">
      <pane ySplit="1" topLeftCell="A2" activePane="bottomLeft" state="frozen"/>
      <selection pane="bottomLeft" activeCell="AB18" sqref="AB18"/>
    </sheetView>
  </sheetViews>
  <sheetFormatPr defaultRowHeight="15"/>
  <cols>
    <col min="1" max="1" width="19" style="2" customWidth="1"/>
    <col min="2" max="2" width="15.85546875" style="9" hidden="1" customWidth="1"/>
    <col min="3" max="3" width="17.42578125" style="3" customWidth="1"/>
    <col min="4" max="4" width="11.85546875" style="78" customWidth="1"/>
    <col min="5" max="5" width="10.28515625" style="10" hidden="1" customWidth="1"/>
    <col min="6" max="6" width="8" style="3" hidden="1" customWidth="1"/>
    <col min="7" max="7" width="8.5703125" style="3" hidden="1" customWidth="1"/>
    <col min="8" max="8" width="8" style="3" hidden="1" customWidth="1"/>
    <col min="9" max="9" width="8.28515625" style="3" hidden="1" customWidth="1"/>
    <col min="10" max="10" width="15.5703125" style="3" customWidth="1"/>
    <col min="11" max="11" width="17.7109375" style="78" customWidth="1"/>
    <col min="12" max="12" width="8.7109375" style="3" hidden="1" customWidth="1"/>
    <col min="13" max="13" width="9" style="3" hidden="1" customWidth="1"/>
    <col min="14" max="14" width="9.5703125" style="3" hidden="1" customWidth="1"/>
    <col min="15" max="15" width="9" style="3" hidden="1" customWidth="1"/>
    <col min="16" max="16" width="9.28515625" style="3" hidden="1" customWidth="1"/>
    <col min="17" max="17" width="14.85546875" style="3" customWidth="1"/>
    <col min="18" max="18" width="15.5703125" style="78" customWidth="1"/>
    <col min="19" max="19" width="9.7109375" style="3" hidden="1" customWidth="1"/>
    <col min="20" max="20" width="10" style="3" hidden="1" customWidth="1"/>
    <col min="21" max="21" width="11" style="3" hidden="1" customWidth="1"/>
    <col min="22" max="22" width="10" style="3" hidden="1" customWidth="1"/>
    <col min="23" max="23" width="10.28515625" style="3" hidden="1" customWidth="1"/>
    <col min="24" max="16384" width="9.140625" style="3"/>
  </cols>
  <sheetData>
    <row r="1" spans="1:50" s="4" customFormat="1" ht="45">
      <c r="A1" s="74" t="s">
        <v>204</v>
      </c>
      <c r="B1" s="75" t="s">
        <v>198</v>
      </c>
      <c r="C1" s="4" t="s">
        <v>46</v>
      </c>
      <c r="D1" s="76" t="s">
        <v>45</v>
      </c>
      <c r="E1" s="77" t="s">
        <v>47</v>
      </c>
      <c r="F1" s="4" t="s">
        <v>48</v>
      </c>
      <c r="G1" s="4" t="s">
        <v>49</v>
      </c>
      <c r="H1" s="4" t="s">
        <v>50</v>
      </c>
      <c r="I1" s="4" t="s">
        <v>51</v>
      </c>
      <c r="J1" s="4" t="s">
        <v>52</v>
      </c>
      <c r="K1" s="76" t="s">
        <v>201</v>
      </c>
      <c r="L1" s="4" t="s">
        <v>151</v>
      </c>
      <c r="M1" s="4" t="s">
        <v>152</v>
      </c>
      <c r="N1" s="4" t="s">
        <v>153</v>
      </c>
      <c r="O1" s="4" t="s">
        <v>154</v>
      </c>
      <c r="P1" s="4" t="s">
        <v>155</v>
      </c>
      <c r="Q1" s="4" t="s">
        <v>202</v>
      </c>
      <c r="R1" s="76" t="s">
        <v>205</v>
      </c>
      <c r="S1" s="4" t="s">
        <v>156</v>
      </c>
      <c r="T1" s="4" t="s">
        <v>157</v>
      </c>
      <c r="U1" s="4" t="s">
        <v>158</v>
      </c>
      <c r="V1" s="4" t="s">
        <v>159</v>
      </c>
      <c r="W1" s="4" t="s">
        <v>160</v>
      </c>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spans="1:50">
      <c r="A2" s="83" t="s">
        <v>75</v>
      </c>
      <c r="B2" s="9">
        <v>0.5</v>
      </c>
      <c r="C2" s="86">
        <v>1</v>
      </c>
      <c r="D2" s="87">
        <v>2660</v>
      </c>
      <c r="E2" s="10">
        <f t="shared" ref="E2:E33" si="0">(D2/43560)*1.62</f>
        <v>9.8925619834710751E-2</v>
      </c>
      <c r="F2" s="10">
        <f t="shared" ref="F2:F33" si="1">(D2/43560)*16.86</f>
        <v>1.0295592286501376</v>
      </c>
      <c r="G2" s="10">
        <f t="shared" ref="G2:G33" si="2">(D2/43560)*1171.32</f>
        <v>71.526887052341593</v>
      </c>
      <c r="H2" s="10">
        <f t="shared" ref="H2:H33" si="3">E2*0.52</f>
        <v>5.144132231404959E-2</v>
      </c>
      <c r="I2" s="10">
        <f t="shared" ref="I2:I33" si="4">F2*0.45</f>
        <v>0.46330165289256192</v>
      </c>
      <c r="J2" s="80">
        <v>1</v>
      </c>
      <c r="K2" s="81">
        <v>500</v>
      </c>
      <c r="L2" s="10">
        <f t="shared" ref="L2:L33" si="5">(K2/43560)*1.62</f>
        <v>1.859504132231405E-2</v>
      </c>
      <c r="M2" s="10">
        <f t="shared" ref="M2:M33" si="6">(K2/43560)*16.86</f>
        <v>0.19352617079889806</v>
      </c>
      <c r="N2" s="10">
        <f t="shared" ref="N2:N33" si="7">(K2/43560)*1171.32</f>
        <v>13.444903581267216</v>
      </c>
      <c r="O2" s="10">
        <f t="shared" ref="O2:O33" si="8">L2*0.33</f>
        <v>6.1363636363636368E-3</v>
      </c>
      <c r="P2" s="10">
        <f t="shared" ref="P2:P33" si="9">M2*0.28</f>
        <v>5.4187327823691463E-2</v>
      </c>
      <c r="Q2" s="86">
        <v>1</v>
      </c>
      <c r="R2" s="87">
        <v>3700</v>
      </c>
      <c r="S2" s="10">
        <f t="shared" ref="S2:S65" si="10">(R2/43560)*0.41</f>
        <v>3.4825528007346188E-2</v>
      </c>
      <c r="T2" s="10">
        <f t="shared" ref="T2:T65" si="11">(R2/43560)*10.07</f>
        <v>0.85534894398530759</v>
      </c>
      <c r="U2" s="10">
        <f t="shared" ref="U2:U65" si="12">(R2/43560)*175.8</f>
        <v>14.932506887052341</v>
      </c>
      <c r="V2" s="10">
        <f t="shared" ref="V2:V33" si="13">S2*0.03</f>
        <v>1.0447658402203857E-3</v>
      </c>
      <c r="W2" s="10">
        <f t="shared" ref="W2:W33" si="14">T2*0.06</f>
        <v>5.132093663911845E-2</v>
      </c>
    </row>
    <row r="3" spans="1:50">
      <c r="A3" s="83" t="s">
        <v>117</v>
      </c>
      <c r="B3" s="9">
        <v>0.3</v>
      </c>
      <c r="C3" s="86">
        <v>1</v>
      </c>
      <c r="D3" s="87">
        <v>2159</v>
      </c>
      <c r="E3" s="10">
        <f t="shared" si="0"/>
        <v>8.0293388429752061E-2</v>
      </c>
      <c r="F3" s="10">
        <f t="shared" si="1"/>
        <v>0.83564600550964185</v>
      </c>
      <c r="G3" s="10">
        <f t="shared" si="2"/>
        <v>58.05509366391184</v>
      </c>
      <c r="H3" s="10">
        <f t="shared" si="3"/>
        <v>4.1752561983471076E-2</v>
      </c>
      <c r="I3" s="10">
        <f t="shared" si="4"/>
        <v>0.37604070247933885</v>
      </c>
      <c r="J3" s="80"/>
      <c r="K3" s="81"/>
      <c r="L3" s="10">
        <f t="shared" si="5"/>
        <v>0</v>
      </c>
      <c r="M3" s="10">
        <f t="shared" si="6"/>
        <v>0</v>
      </c>
      <c r="N3" s="10">
        <f t="shared" si="7"/>
        <v>0</v>
      </c>
      <c r="O3" s="10">
        <f t="shared" si="8"/>
        <v>0</v>
      </c>
      <c r="P3" s="10">
        <f t="shared" si="9"/>
        <v>0</v>
      </c>
      <c r="Q3" s="86">
        <v>1</v>
      </c>
      <c r="R3" s="87">
        <v>12795</v>
      </c>
      <c r="S3" s="10">
        <f t="shared" si="10"/>
        <v>0.12043044077134986</v>
      </c>
      <c r="T3" s="10">
        <f t="shared" si="11"/>
        <v>2.9578891184573006</v>
      </c>
      <c r="U3" s="10">
        <f t="shared" si="12"/>
        <v>51.638223140495874</v>
      </c>
      <c r="V3" s="10">
        <f t="shared" si="13"/>
        <v>3.6129132231404958E-3</v>
      </c>
      <c r="W3" s="10">
        <f t="shared" si="14"/>
        <v>0.17747334710743803</v>
      </c>
    </row>
    <row r="4" spans="1:50">
      <c r="A4" s="83" t="s">
        <v>36</v>
      </c>
      <c r="B4" s="9">
        <v>0.4</v>
      </c>
      <c r="C4" s="86">
        <v>1</v>
      </c>
      <c r="D4" s="88">
        <v>2660</v>
      </c>
      <c r="E4" s="10">
        <f t="shared" si="0"/>
        <v>9.8925619834710751E-2</v>
      </c>
      <c r="F4" s="10">
        <f t="shared" si="1"/>
        <v>1.0295592286501376</v>
      </c>
      <c r="G4" s="10">
        <f t="shared" si="2"/>
        <v>71.526887052341593</v>
      </c>
      <c r="H4" s="10">
        <f t="shared" si="3"/>
        <v>5.144132231404959E-2</v>
      </c>
      <c r="I4" s="10">
        <f t="shared" si="4"/>
        <v>0.46330165289256192</v>
      </c>
      <c r="J4" s="80"/>
      <c r="K4" s="82"/>
      <c r="L4" s="10">
        <f t="shared" si="5"/>
        <v>0</v>
      </c>
      <c r="M4" s="10">
        <f t="shared" si="6"/>
        <v>0</v>
      </c>
      <c r="N4" s="10">
        <f t="shared" si="7"/>
        <v>0</v>
      </c>
      <c r="O4" s="10">
        <f t="shared" si="8"/>
        <v>0</v>
      </c>
      <c r="P4" s="10">
        <f t="shared" si="9"/>
        <v>0</v>
      </c>
      <c r="Q4" s="86">
        <v>1</v>
      </c>
      <c r="R4" s="88">
        <v>3700</v>
      </c>
      <c r="S4" s="10">
        <f t="shared" si="10"/>
        <v>3.4825528007346188E-2</v>
      </c>
      <c r="T4" s="10">
        <f t="shared" si="11"/>
        <v>0.85534894398530759</v>
      </c>
      <c r="U4" s="10">
        <f t="shared" si="12"/>
        <v>14.932506887052341</v>
      </c>
      <c r="V4" s="10">
        <f t="shared" si="13"/>
        <v>1.0447658402203857E-3</v>
      </c>
      <c r="W4" s="10">
        <f t="shared" si="14"/>
        <v>5.132093663911845E-2</v>
      </c>
    </row>
    <row r="5" spans="1:50">
      <c r="A5" s="83" t="s">
        <v>8</v>
      </c>
      <c r="B5" s="9">
        <v>0.4</v>
      </c>
      <c r="C5" s="86">
        <v>1</v>
      </c>
      <c r="D5" s="88">
        <v>2210</v>
      </c>
      <c r="E5" s="10">
        <f t="shared" si="0"/>
        <v>8.2190082644628099E-2</v>
      </c>
      <c r="F5" s="10">
        <f t="shared" si="1"/>
        <v>0.85538567493112938</v>
      </c>
      <c r="G5" s="10">
        <f t="shared" si="2"/>
        <v>59.426473829201093</v>
      </c>
      <c r="H5" s="10">
        <f t="shared" si="3"/>
        <v>4.2738842975206616E-2</v>
      </c>
      <c r="I5" s="10">
        <f t="shared" si="4"/>
        <v>0.38492355371900822</v>
      </c>
      <c r="J5" s="80"/>
      <c r="K5" s="82"/>
      <c r="L5" s="10">
        <f t="shared" si="5"/>
        <v>0</v>
      </c>
      <c r="M5" s="10">
        <f t="shared" si="6"/>
        <v>0</v>
      </c>
      <c r="N5" s="10">
        <f t="shared" si="7"/>
        <v>0</v>
      </c>
      <c r="O5" s="10">
        <f t="shared" si="8"/>
        <v>0</v>
      </c>
      <c r="P5" s="10">
        <f t="shared" si="9"/>
        <v>0</v>
      </c>
      <c r="Q5" s="86">
        <v>1</v>
      </c>
      <c r="R5" s="88">
        <v>19300</v>
      </c>
      <c r="S5" s="10">
        <f t="shared" si="10"/>
        <v>0.18165748393021119</v>
      </c>
      <c r="T5" s="10">
        <f t="shared" si="11"/>
        <v>4.4616850321395782</v>
      </c>
      <c r="U5" s="10">
        <f t="shared" si="12"/>
        <v>77.891184573002761</v>
      </c>
      <c r="V5" s="10">
        <f t="shared" si="13"/>
        <v>5.4497245179063354E-3</v>
      </c>
      <c r="W5" s="10">
        <f t="shared" si="14"/>
        <v>0.26770110192837471</v>
      </c>
    </row>
    <row r="6" spans="1:50">
      <c r="A6" s="83" t="s">
        <v>21</v>
      </c>
      <c r="B6" s="9">
        <v>0.3</v>
      </c>
      <c r="C6" s="86"/>
      <c r="D6" s="88"/>
      <c r="E6" s="10">
        <f t="shared" si="0"/>
        <v>0</v>
      </c>
      <c r="F6" s="10">
        <f t="shared" si="1"/>
        <v>0</v>
      </c>
      <c r="G6" s="10">
        <f t="shared" si="2"/>
        <v>0</v>
      </c>
      <c r="H6" s="10">
        <f t="shared" si="3"/>
        <v>0</v>
      </c>
      <c r="I6" s="10">
        <f t="shared" si="4"/>
        <v>0</v>
      </c>
      <c r="J6" s="80">
        <v>1</v>
      </c>
      <c r="K6" s="82">
        <v>624</v>
      </c>
      <c r="L6" s="10">
        <f t="shared" si="5"/>
        <v>2.3206611570247934E-2</v>
      </c>
      <c r="M6" s="10">
        <f t="shared" si="6"/>
        <v>0.24152066115702478</v>
      </c>
      <c r="N6" s="10">
        <f t="shared" si="7"/>
        <v>16.779239669421486</v>
      </c>
      <c r="O6" s="10">
        <f t="shared" si="8"/>
        <v>7.6581818181818183E-3</v>
      </c>
      <c r="P6" s="10">
        <f t="shared" si="9"/>
        <v>6.7625785123966942E-2</v>
      </c>
      <c r="Q6" s="86">
        <v>1</v>
      </c>
      <c r="R6" s="88">
        <v>1250</v>
      </c>
      <c r="S6" s="10">
        <f t="shared" si="10"/>
        <v>1.1765381083562901E-2</v>
      </c>
      <c r="T6" s="10">
        <f t="shared" si="11"/>
        <v>0.2889692378328742</v>
      </c>
      <c r="U6" s="10">
        <f t="shared" si="12"/>
        <v>5.0447658402203857</v>
      </c>
      <c r="V6" s="10">
        <f t="shared" si="13"/>
        <v>3.5296143250688702E-4</v>
      </c>
      <c r="W6" s="10">
        <f t="shared" si="14"/>
        <v>1.7338154269972452E-2</v>
      </c>
    </row>
    <row r="7" spans="1:50">
      <c r="A7" s="83" t="s">
        <v>125</v>
      </c>
      <c r="B7" s="9">
        <v>0.4</v>
      </c>
      <c r="C7" s="86">
        <v>1</v>
      </c>
      <c r="D7" s="87">
        <v>1207.3</v>
      </c>
      <c r="E7" s="10">
        <f t="shared" si="0"/>
        <v>4.4899586776859506E-2</v>
      </c>
      <c r="F7" s="10">
        <f t="shared" si="1"/>
        <v>0.46728829201101924</v>
      </c>
      <c r="G7" s="10">
        <f t="shared" si="2"/>
        <v>32.464064187327821</v>
      </c>
      <c r="H7" s="10">
        <f t="shared" si="3"/>
        <v>2.3347785123966944E-2</v>
      </c>
      <c r="I7" s="10">
        <f t="shared" si="4"/>
        <v>0.21027973140495865</v>
      </c>
      <c r="J7" s="80"/>
      <c r="K7" s="81"/>
      <c r="L7" s="10">
        <f t="shared" si="5"/>
        <v>0</v>
      </c>
      <c r="M7" s="10">
        <f t="shared" si="6"/>
        <v>0</v>
      </c>
      <c r="N7" s="10">
        <f t="shared" si="7"/>
        <v>0</v>
      </c>
      <c r="O7" s="10">
        <f t="shared" si="8"/>
        <v>0</v>
      </c>
      <c r="P7" s="10">
        <f t="shared" si="9"/>
        <v>0</v>
      </c>
      <c r="Q7" s="86">
        <v>1</v>
      </c>
      <c r="R7" s="87">
        <v>5000</v>
      </c>
      <c r="S7" s="10">
        <f t="shared" si="10"/>
        <v>4.7061524334251606E-2</v>
      </c>
      <c r="T7" s="10">
        <f t="shared" si="11"/>
        <v>1.1558769513314968</v>
      </c>
      <c r="U7" s="10">
        <f t="shared" si="12"/>
        <v>20.179063360881543</v>
      </c>
      <c r="V7" s="10">
        <f t="shared" si="13"/>
        <v>1.4118457300275481E-3</v>
      </c>
      <c r="W7" s="10">
        <f t="shared" si="14"/>
        <v>6.9352617079889808E-2</v>
      </c>
    </row>
    <row r="8" spans="1:50">
      <c r="A8" s="83" t="s">
        <v>127</v>
      </c>
      <c r="B8" s="9">
        <v>0.2</v>
      </c>
      <c r="C8" s="86"/>
      <c r="D8" s="87"/>
      <c r="E8" s="10">
        <f t="shared" si="0"/>
        <v>0</v>
      </c>
      <c r="F8" s="10">
        <f t="shared" si="1"/>
        <v>0</v>
      </c>
      <c r="G8" s="10">
        <f t="shared" si="2"/>
        <v>0</v>
      </c>
      <c r="H8" s="10">
        <f t="shared" si="3"/>
        <v>0</v>
      </c>
      <c r="I8" s="10">
        <f t="shared" si="4"/>
        <v>0</v>
      </c>
      <c r="J8" s="80"/>
      <c r="K8" s="81"/>
      <c r="L8" s="10">
        <f t="shared" si="5"/>
        <v>0</v>
      </c>
      <c r="M8" s="10">
        <f t="shared" si="6"/>
        <v>0</v>
      </c>
      <c r="N8" s="10">
        <f t="shared" si="7"/>
        <v>0</v>
      </c>
      <c r="O8" s="10">
        <f t="shared" si="8"/>
        <v>0</v>
      </c>
      <c r="P8" s="10">
        <f t="shared" si="9"/>
        <v>0</v>
      </c>
      <c r="Q8" s="86">
        <v>1</v>
      </c>
      <c r="R8" s="87">
        <v>2800</v>
      </c>
      <c r="S8" s="10">
        <f t="shared" si="10"/>
        <v>2.6354453627180901E-2</v>
      </c>
      <c r="T8" s="10">
        <f t="shared" si="11"/>
        <v>0.64729109274563823</v>
      </c>
      <c r="U8" s="10">
        <f t="shared" si="12"/>
        <v>11.300275482093666</v>
      </c>
      <c r="V8" s="10">
        <f t="shared" si="13"/>
        <v>7.90633608815427E-4</v>
      </c>
      <c r="W8" s="10">
        <f t="shared" si="14"/>
        <v>3.8837465564738292E-2</v>
      </c>
    </row>
    <row r="9" spans="1:50">
      <c r="A9" s="83" t="s">
        <v>86</v>
      </c>
      <c r="B9" s="9">
        <v>0.5</v>
      </c>
      <c r="C9" s="86">
        <v>1</v>
      </c>
      <c r="D9" s="87">
        <v>1800</v>
      </c>
      <c r="E9" s="10">
        <f t="shared" si="0"/>
        <v>6.6942148760330583E-2</v>
      </c>
      <c r="F9" s="10">
        <f t="shared" si="1"/>
        <v>0.696694214876033</v>
      </c>
      <c r="G9" s="10">
        <f t="shared" si="2"/>
        <v>48.401652892561984</v>
      </c>
      <c r="H9" s="10">
        <f t="shared" si="3"/>
        <v>3.4809917355371901E-2</v>
      </c>
      <c r="I9" s="10">
        <f t="shared" si="4"/>
        <v>0.31351239669421488</v>
      </c>
      <c r="J9" s="80"/>
      <c r="K9" s="81"/>
      <c r="L9" s="10">
        <f t="shared" si="5"/>
        <v>0</v>
      </c>
      <c r="M9" s="10">
        <f t="shared" si="6"/>
        <v>0</v>
      </c>
      <c r="N9" s="10">
        <f t="shared" si="7"/>
        <v>0</v>
      </c>
      <c r="O9" s="10">
        <f t="shared" si="8"/>
        <v>0</v>
      </c>
      <c r="P9" s="10">
        <f t="shared" si="9"/>
        <v>0</v>
      </c>
      <c r="Q9" s="86">
        <v>1</v>
      </c>
      <c r="R9" s="87">
        <v>14000</v>
      </c>
      <c r="S9" s="10">
        <f t="shared" si="10"/>
        <v>0.13177226813590448</v>
      </c>
      <c r="T9" s="10">
        <f t="shared" si="11"/>
        <v>3.2364554637281908</v>
      </c>
      <c r="U9" s="10">
        <f t="shared" si="12"/>
        <v>56.501377410468322</v>
      </c>
      <c r="V9" s="10">
        <f t="shared" si="13"/>
        <v>3.9531680440771343E-3</v>
      </c>
      <c r="W9" s="10">
        <f t="shared" si="14"/>
        <v>0.19418732782369144</v>
      </c>
    </row>
    <row r="10" spans="1:50">
      <c r="A10" s="83" t="s">
        <v>29</v>
      </c>
      <c r="B10" s="9">
        <v>0.4</v>
      </c>
      <c r="C10" s="86">
        <v>1</v>
      </c>
      <c r="D10" s="88">
        <v>1350</v>
      </c>
      <c r="E10" s="10">
        <f t="shared" si="0"/>
        <v>5.0206611570247937E-2</v>
      </c>
      <c r="F10" s="10">
        <f t="shared" si="1"/>
        <v>0.52252066115702478</v>
      </c>
      <c r="G10" s="10">
        <f t="shared" si="2"/>
        <v>36.301239669421484</v>
      </c>
      <c r="H10" s="10">
        <f t="shared" si="3"/>
        <v>2.6107438016528928E-2</v>
      </c>
      <c r="I10" s="10">
        <f t="shared" si="4"/>
        <v>0.23513429752066115</v>
      </c>
      <c r="J10" s="80">
        <v>1</v>
      </c>
      <c r="K10" s="82">
        <v>675</v>
      </c>
      <c r="L10" s="10">
        <f t="shared" si="5"/>
        <v>2.5103305785123969E-2</v>
      </c>
      <c r="M10" s="10">
        <f t="shared" si="6"/>
        <v>0.26126033057851239</v>
      </c>
      <c r="N10" s="10">
        <f t="shared" si="7"/>
        <v>18.150619834710742</v>
      </c>
      <c r="O10" s="10">
        <f t="shared" si="8"/>
        <v>8.2840909090909094E-3</v>
      </c>
      <c r="P10" s="10">
        <f t="shared" si="9"/>
        <v>7.3152892561983471E-2</v>
      </c>
      <c r="Q10" s="86"/>
      <c r="R10" s="88"/>
      <c r="S10" s="10">
        <f t="shared" si="10"/>
        <v>0</v>
      </c>
      <c r="T10" s="10">
        <f t="shared" si="11"/>
        <v>0</v>
      </c>
      <c r="U10" s="10">
        <f t="shared" si="12"/>
        <v>0</v>
      </c>
      <c r="V10" s="10">
        <f t="shared" si="13"/>
        <v>0</v>
      </c>
      <c r="W10" s="10">
        <f t="shared" si="14"/>
        <v>0</v>
      </c>
    </row>
    <row r="11" spans="1:50">
      <c r="A11" s="83" t="s">
        <v>27</v>
      </c>
      <c r="B11" s="9">
        <v>0.3</v>
      </c>
      <c r="C11" s="89">
        <v>1</v>
      </c>
      <c r="D11" s="88">
        <v>1431.3</v>
      </c>
      <c r="E11" s="10">
        <f t="shared" si="0"/>
        <v>5.3230165289256198E-2</v>
      </c>
      <c r="F11" s="10">
        <f t="shared" si="1"/>
        <v>0.55398801652892549</v>
      </c>
      <c r="G11" s="10">
        <f t="shared" si="2"/>
        <v>38.487380991735527</v>
      </c>
      <c r="H11" s="10">
        <f t="shared" si="3"/>
        <v>2.7679685950413223E-2</v>
      </c>
      <c r="I11" s="10">
        <f t="shared" si="4"/>
        <v>0.24929460743801649</v>
      </c>
      <c r="J11" s="80"/>
      <c r="K11" s="82"/>
      <c r="L11" s="10">
        <f t="shared" si="5"/>
        <v>0</v>
      </c>
      <c r="M11" s="10">
        <f t="shared" si="6"/>
        <v>0</v>
      </c>
      <c r="N11" s="10">
        <f t="shared" si="7"/>
        <v>0</v>
      </c>
      <c r="O11" s="10">
        <f t="shared" si="8"/>
        <v>0</v>
      </c>
      <c r="P11" s="10">
        <f t="shared" si="9"/>
        <v>0</v>
      </c>
      <c r="Q11" s="89">
        <v>1</v>
      </c>
      <c r="R11" s="88">
        <v>13068</v>
      </c>
      <c r="S11" s="10">
        <f t="shared" si="10"/>
        <v>0.12299999999999998</v>
      </c>
      <c r="T11" s="10">
        <f t="shared" si="11"/>
        <v>3.0209999999999999</v>
      </c>
      <c r="U11" s="10">
        <f t="shared" si="12"/>
        <v>52.74</v>
      </c>
      <c r="V11" s="10">
        <f t="shared" si="13"/>
        <v>3.6899999999999993E-3</v>
      </c>
      <c r="W11" s="10">
        <f t="shared" si="14"/>
        <v>0.18125999999999998</v>
      </c>
    </row>
    <row r="12" spans="1:50">
      <c r="A12" s="83" t="s">
        <v>33</v>
      </c>
      <c r="B12" s="9">
        <v>0.3</v>
      </c>
      <c r="C12" s="86">
        <v>1</v>
      </c>
      <c r="D12" s="88">
        <v>2492</v>
      </c>
      <c r="E12" s="10">
        <f t="shared" si="0"/>
        <v>9.267768595041323E-2</v>
      </c>
      <c r="F12" s="10">
        <f t="shared" si="1"/>
        <v>0.96453443526170801</v>
      </c>
      <c r="G12" s="10">
        <f t="shared" si="2"/>
        <v>67.009399449035811</v>
      </c>
      <c r="H12" s="10">
        <f t="shared" si="3"/>
        <v>4.8192396694214878E-2</v>
      </c>
      <c r="I12" s="10">
        <f t="shared" si="4"/>
        <v>0.43404049586776861</v>
      </c>
      <c r="J12" s="80"/>
      <c r="K12" s="82"/>
      <c r="L12" s="10">
        <f t="shared" si="5"/>
        <v>0</v>
      </c>
      <c r="M12" s="10">
        <f t="shared" si="6"/>
        <v>0</v>
      </c>
      <c r="N12" s="10">
        <f t="shared" si="7"/>
        <v>0</v>
      </c>
      <c r="O12" s="10">
        <f t="shared" si="8"/>
        <v>0</v>
      </c>
      <c r="P12" s="10">
        <f t="shared" si="9"/>
        <v>0</v>
      </c>
      <c r="Q12" s="86">
        <v>1</v>
      </c>
      <c r="R12" s="88">
        <v>26000</v>
      </c>
      <c r="S12" s="10">
        <f t="shared" si="10"/>
        <v>0.24471992653810834</v>
      </c>
      <c r="T12" s="10">
        <f t="shared" si="11"/>
        <v>6.0105601469237833</v>
      </c>
      <c r="U12" s="10">
        <f t="shared" si="12"/>
        <v>104.93112947658403</v>
      </c>
      <c r="V12" s="10">
        <f t="shared" si="13"/>
        <v>7.3415977961432503E-3</v>
      </c>
      <c r="W12" s="10">
        <f t="shared" si="14"/>
        <v>0.360633608815427</v>
      </c>
    </row>
    <row r="13" spans="1:50">
      <c r="A13" s="83" t="s">
        <v>0</v>
      </c>
      <c r="B13" s="9">
        <v>0.3</v>
      </c>
      <c r="C13" s="86">
        <v>1</v>
      </c>
      <c r="D13" s="88">
        <v>936</v>
      </c>
      <c r="E13" s="10">
        <f t="shared" si="0"/>
        <v>3.4809917355371901E-2</v>
      </c>
      <c r="F13" s="10">
        <f t="shared" si="1"/>
        <v>0.36228099173553718</v>
      </c>
      <c r="G13" s="10">
        <f t="shared" si="2"/>
        <v>25.168859504132229</v>
      </c>
      <c r="H13" s="10">
        <f t="shared" si="3"/>
        <v>1.8101157024793389E-2</v>
      </c>
      <c r="I13" s="10">
        <f t="shared" si="4"/>
        <v>0.16302644628099175</v>
      </c>
      <c r="J13" s="80"/>
      <c r="K13" s="82"/>
      <c r="L13" s="10">
        <f t="shared" si="5"/>
        <v>0</v>
      </c>
      <c r="M13" s="10">
        <f t="shared" si="6"/>
        <v>0</v>
      </c>
      <c r="N13" s="10">
        <f t="shared" si="7"/>
        <v>0</v>
      </c>
      <c r="O13" s="10">
        <f t="shared" si="8"/>
        <v>0</v>
      </c>
      <c r="P13" s="10">
        <f t="shared" si="9"/>
        <v>0</v>
      </c>
      <c r="Q13" s="86">
        <v>1</v>
      </c>
      <c r="R13" s="88">
        <v>8075</v>
      </c>
      <c r="S13" s="10">
        <f t="shared" si="10"/>
        <v>7.6004361799816331E-2</v>
      </c>
      <c r="T13" s="10">
        <f t="shared" si="11"/>
        <v>1.8667412764003672</v>
      </c>
      <c r="U13" s="10">
        <f t="shared" si="12"/>
        <v>32.589187327823694</v>
      </c>
      <c r="V13" s="10">
        <f t="shared" si="13"/>
        <v>2.2801308539944897E-3</v>
      </c>
      <c r="W13" s="10">
        <f t="shared" si="14"/>
        <v>0.11200447658402203</v>
      </c>
    </row>
    <row r="14" spans="1:50">
      <c r="A14" s="83" t="s">
        <v>94</v>
      </c>
      <c r="B14" s="9">
        <v>0.5</v>
      </c>
      <c r="C14" s="86"/>
      <c r="D14" s="87"/>
      <c r="E14" s="10">
        <f t="shared" si="0"/>
        <v>0</v>
      </c>
      <c r="F14" s="10">
        <f t="shared" si="1"/>
        <v>0</v>
      </c>
      <c r="G14" s="10">
        <f t="shared" si="2"/>
        <v>0</v>
      </c>
      <c r="H14" s="10">
        <f t="shared" si="3"/>
        <v>0</v>
      </c>
      <c r="I14" s="10">
        <f t="shared" si="4"/>
        <v>0</v>
      </c>
      <c r="J14" s="80">
        <v>1</v>
      </c>
      <c r="K14" s="81">
        <v>400</v>
      </c>
      <c r="L14" s="10">
        <f t="shared" si="5"/>
        <v>1.487603305785124E-2</v>
      </c>
      <c r="M14" s="10">
        <f t="shared" si="6"/>
        <v>0.15482093663911844</v>
      </c>
      <c r="N14" s="10">
        <f t="shared" si="7"/>
        <v>10.755922865013773</v>
      </c>
      <c r="O14" s="10">
        <f t="shared" si="8"/>
        <v>4.909090909090909E-3</v>
      </c>
      <c r="P14" s="10">
        <f t="shared" si="9"/>
        <v>4.3349862258953167E-2</v>
      </c>
      <c r="Q14" s="86">
        <v>1</v>
      </c>
      <c r="R14" s="87">
        <v>12880</v>
      </c>
      <c r="S14" s="10">
        <f t="shared" si="10"/>
        <v>0.12123048668503214</v>
      </c>
      <c r="T14" s="10">
        <f t="shared" si="11"/>
        <v>2.9775390266299362</v>
      </c>
      <c r="U14" s="10">
        <f t="shared" si="12"/>
        <v>51.981267217630865</v>
      </c>
      <c r="V14" s="10">
        <f t="shared" si="13"/>
        <v>3.6369146005509642E-3</v>
      </c>
      <c r="W14" s="10">
        <f t="shared" si="14"/>
        <v>0.17865234159779617</v>
      </c>
    </row>
    <row r="15" spans="1:50">
      <c r="A15" s="83" t="s">
        <v>67</v>
      </c>
      <c r="B15" s="9">
        <v>0.4</v>
      </c>
      <c r="C15" s="86">
        <v>1</v>
      </c>
      <c r="D15" s="87">
        <v>3919</v>
      </c>
      <c r="E15" s="10">
        <f t="shared" si="0"/>
        <v>0.14574793388429752</v>
      </c>
      <c r="F15" s="10">
        <f t="shared" si="1"/>
        <v>1.5168581267217629</v>
      </c>
      <c r="G15" s="10">
        <f t="shared" si="2"/>
        <v>105.38115426997244</v>
      </c>
      <c r="H15" s="10">
        <f t="shared" si="3"/>
        <v>7.5788925619834718E-2</v>
      </c>
      <c r="I15" s="10">
        <f t="shared" si="4"/>
        <v>0.68258615702479331</v>
      </c>
      <c r="J15" s="80"/>
      <c r="K15" s="81"/>
      <c r="L15" s="10">
        <f t="shared" si="5"/>
        <v>0</v>
      </c>
      <c r="M15" s="10">
        <f t="shared" si="6"/>
        <v>0</v>
      </c>
      <c r="N15" s="10">
        <f t="shared" si="7"/>
        <v>0</v>
      </c>
      <c r="O15" s="10">
        <f t="shared" si="8"/>
        <v>0</v>
      </c>
      <c r="P15" s="10">
        <f t="shared" si="9"/>
        <v>0</v>
      </c>
      <c r="Q15" s="86">
        <v>1</v>
      </c>
      <c r="R15" s="87">
        <v>20000</v>
      </c>
      <c r="S15" s="10">
        <f t="shared" si="10"/>
        <v>0.18824609733700642</v>
      </c>
      <c r="T15" s="10">
        <f t="shared" si="11"/>
        <v>4.6235078053259873</v>
      </c>
      <c r="U15" s="10">
        <f t="shared" si="12"/>
        <v>80.71625344352617</v>
      </c>
      <c r="V15" s="10">
        <f t="shared" si="13"/>
        <v>5.6473829201101923E-3</v>
      </c>
      <c r="W15" s="10">
        <f t="shared" si="14"/>
        <v>0.27741046831955923</v>
      </c>
    </row>
    <row r="16" spans="1:50">
      <c r="A16" s="83" t="s">
        <v>11</v>
      </c>
      <c r="B16" s="9">
        <v>0.5</v>
      </c>
      <c r="C16" s="86">
        <v>1</v>
      </c>
      <c r="D16" s="88">
        <v>400</v>
      </c>
      <c r="E16" s="10">
        <f t="shared" si="0"/>
        <v>1.487603305785124E-2</v>
      </c>
      <c r="F16" s="10">
        <f t="shared" si="1"/>
        <v>0.15482093663911844</v>
      </c>
      <c r="G16" s="10">
        <f t="shared" si="2"/>
        <v>10.755922865013773</v>
      </c>
      <c r="H16" s="10">
        <f t="shared" si="3"/>
        <v>7.7355371900826447E-3</v>
      </c>
      <c r="I16" s="10">
        <f t="shared" si="4"/>
        <v>6.96694214876033E-2</v>
      </c>
      <c r="J16" s="80">
        <v>1</v>
      </c>
      <c r="K16" s="82">
        <v>500</v>
      </c>
      <c r="L16" s="10">
        <f t="shared" si="5"/>
        <v>1.859504132231405E-2</v>
      </c>
      <c r="M16" s="10">
        <f t="shared" si="6"/>
        <v>0.19352617079889806</v>
      </c>
      <c r="N16" s="10">
        <f t="shared" si="7"/>
        <v>13.444903581267216</v>
      </c>
      <c r="O16" s="10">
        <f t="shared" si="8"/>
        <v>6.1363636363636368E-3</v>
      </c>
      <c r="P16" s="10">
        <f t="shared" si="9"/>
        <v>5.4187327823691463E-2</v>
      </c>
      <c r="Q16" s="86">
        <v>1</v>
      </c>
      <c r="R16" s="88">
        <v>1265</v>
      </c>
      <c r="S16" s="10">
        <f t="shared" si="10"/>
        <v>1.1906565656565655E-2</v>
      </c>
      <c r="T16" s="10">
        <f t="shared" si="11"/>
        <v>0.29243686868686869</v>
      </c>
      <c r="U16" s="10">
        <f t="shared" si="12"/>
        <v>5.1053030303030305</v>
      </c>
      <c r="V16" s="10">
        <f t="shared" si="13"/>
        <v>3.5719696969696964E-4</v>
      </c>
      <c r="W16" s="10">
        <f t="shared" si="14"/>
        <v>1.7546212121212122E-2</v>
      </c>
    </row>
    <row r="17" spans="1:23">
      <c r="A17" s="80" t="s">
        <v>83</v>
      </c>
      <c r="B17" s="9">
        <v>0.4</v>
      </c>
      <c r="C17" s="86">
        <v>1</v>
      </c>
      <c r="D17" s="87">
        <v>1020</v>
      </c>
      <c r="E17" s="10">
        <f t="shared" si="0"/>
        <v>3.7933884297520662E-2</v>
      </c>
      <c r="F17" s="10">
        <f t="shared" si="1"/>
        <v>0.39479338842975209</v>
      </c>
      <c r="G17" s="10">
        <f t="shared" si="2"/>
        <v>27.427603305785123</v>
      </c>
      <c r="H17" s="10">
        <f t="shared" si="3"/>
        <v>1.9725619834710745E-2</v>
      </c>
      <c r="I17" s="10">
        <f t="shared" si="4"/>
        <v>0.17765702479338844</v>
      </c>
      <c r="J17" s="80"/>
      <c r="K17" s="81"/>
      <c r="L17" s="10">
        <f t="shared" si="5"/>
        <v>0</v>
      </c>
      <c r="M17" s="10">
        <f t="shared" si="6"/>
        <v>0</v>
      </c>
      <c r="N17" s="10">
        <f t="shared" si="7"/>
        <v>0</v>
      </c>
      <c r="O17" s="10">
        <f t="shared" si="8"/>
        <v>0</v>
      </c>
      <c r="P17" s="10">
        <f t="shared" si="9"/>
        <v>0</v>
      </c>
      <c r="Q17" s="86">
        <v>1</v>
      </c>
      <c r="R17" s="87">
        <v>20000</v>
      </c>
      <c r="S17" s="10">
        <f t="shared" si="10"/>
        <v>0.18824609733700642</v>
      </c>
      <c r="T17" s="10">
        <f t="shared" si="11"/>
        <v>4.6235078053259873</v>
      </c>
      <c r="U17" s="10">
        <f t="shared" si="12"/>
        <v>80.71625344352617</v>
      </c>
      <c r="V17" s="10">
        <f t="shared" si="13"/>
        <v>5.6473829201101923E-3</v>
      </c>
      <c r="W17" s="10">
        <f t="shared" si="14"/>
        <v>0.27741046831955923</v>
      </c>
    </row>
    <row r="18" spans="1:23">
      <c r="A18" s="83" t="s">
        <v>91</v>
      </c>
      <c r="B18" s="9">
        <v>0.5</v>
      </c>
      <c r="C18" s="86">
        <v>1</v>
      </c>
      <c r="D18" s="87">
        <v>2600</v>
      </c>
      <c r="E18" s="10">
        <f t="shared" si="0"/>
        <v>9.6694214876033066E-2</v>
      </c>
      <c r="F18" s="10">
        <f t="shared" si="1"/>
        <v>1.0063360881542698</v>
      </c>
      <c r="G18" s="10">
        <f t="shared" si="2"/>
        <v>69.913498622589529</v>
      </c>
      <c r="H18" s="10">
        <f t="shared" si="3"/>
        <v>5.0280991735537198E-2</v>
      </c>
      <c r="I18" s="10">
        <f t="shared" si="4"/>
        <v>0.45285123966942142</v>
      </c>
      <c r="J18" s="80"/>
      <c r="K18" s="81"/>
      <c r="L18" s="10">
        <f t="shared" si="5"/>
        <v>0</v>
      </c>
      <c r="M18" s="10">
        <f t="shared" si="6"/>
        <v>0</v>
      </c>
      <c r="N18" s="10">
        <f t="shared" si="7"/>
        <v>0</v>
      </c>
      <c r="O18" s="10">
        <f t="shared" si="8"/>
        <v>0</v>
      </c>
      <c r="P18" s="10">
        <f t="shared" si="9"/>
        <v>0</v>
      </c>
      <c r="Q18" s="86">
        <v>1</v>
      </c>
      <c r="R18" s="87">
        <v>6500</v>
      </c>
      <c r="S18" s="10">
        <f t="shared" si="10"/>
        <v>6.1179981634527085E-2</v>
      </c>
      <c r="T18" s="10">
        <f t="shared" si="11"/>
        <v>1.5026400367309458</v>
      </c>
      <c r="U18" s="10">
        <f t="shared" si="12"/>
        <v>26.232782369146008</v>
      </c>
      <c r="V18" s="10">
        <f t="shared" si="13"/>
        <v>1.8353994490358126E-3</v>
      </c>
      <c r="W18" s="10">
        <f t="shared" si="14"/>
        <v>9.015840220385675E-2</v>
      </c>
    </row>
    <row r="19" spans="1:23">
      <c r="A19" s="83" t="s">
        <v>109</v>
      </c>
      <c r="B19" s="9">
        <v>0.3</v>
      </c>
      <c r="C19" s="86">
        <v>1</v>
      </c>
      <c r="D19" s="87">
        <v>2420</v>
      </c>
      <c r="E19" s="10">
        <f t="shared" si="0"/>
        <v>0.09</v>
      </c>
      <c r="F19" s="10">
        <f t="shared" si="1"/>
        <v>0.93666666666666654</v>
      </c>
      <c r="G19" s="10">
        <f t="shared" si="2"/>
        <v>65.073333333333323</v>
      </c>
      <c r="H19" s="10">
        <f t="shared" si="3"/>
        <v>4.6800000000000001E-2</v>
      </c>
      <c r="I19" s="10">
        <f t="shared" si="4"/>
        <v>0.42149999999999993</v>
      </c>
      <c r="J19" s="80"/>
      <c r="K19" s="81"/>
      <c r="L19" s="10">
        <f t="shared" si="5"/>
        <v>0</v>
      </c>
      <c r="M19" s="10">
        <f t="shared" si="6"/>
        <v>0</v>
      </c>
      <c r="N19" s="10">
        <f t="shared" si="7"/>
        <v>0</v>
      </c>
      <c r="O19" s="10">
        <f t="shared" si="8"/>
        <v>0</v>
      </c>
      <c r="P19" s="10">
        <f t="shared" si="9"/>
        <v>0</v>
      </c>
      <c r="Q19" s="86"/>
      <c r="R19" s="87"/>
      <c r="S19" s="10">
        <f t="shared" si="10"/>
        <v>0</v>
      </c>
      <c r="T19" s="10">
        <f t="shared" si="11"/>
        <v>0</v>
      </c>
      <c r="U19" s="10">
        <f t="shared" si="12"/>
        <v>0</v>
      </c>
      <c r="V19" s="10">
        <f t="shared" si="13"/>
        <v>0</v>
      </c>
      <c r="W19" s="10">
        <f t="shared" si="14"/>
        <v>0</v>
      </c>
    </row>
    <row r="20" spans="1:23">
      <c r="A20" s="92" t="s">
        <v>141</v>
      </c>
      <c r="B20" s="9">
        <v>0.4</v>
      </c>
      <c r="C20" s="86">
        <v>1</v>
      </c>
      <c r="D20" s="87">
        <v>580</v>
      </c>
      <c r="E20" s="10">
        <f t="shared" si="0"/>
        <v>2.1570247933884297E-2</v>
      </c>
      <c r="F20" s="10">
        <f t="shared" si="1"/>
        <v>0.22449035812672175</v>
      </c>
      <c r="G20" s="10">
        <f t="shared" si="2"/>
        <v>15.596088154269971</v>
      </c>
      <c r="H20" s="10">
        <f t="shared" si="3"/>
        <v>1.1216528925619834E-2</v>
      </c>
      <c r="I20" s="10">
        <f t="shared" si="4"/>
        <v>0.10102066115702479</v>
      </c>
      <c r="J20" s="80"/>
      <c r="K20" s="81"/>
      <c r="L20" s="10">
        <f t="shared" si="5"/>
        <v>0</v>
      </c>
      <c r="M20" s="10">
        <f t="shared" si="6"/>
        <v>0</v>
      </c>
      <c r="N20" s="10">
        <f t="shared" si="7"/>
        <v>0</v>
      </c>
      <c r="O20" s="10">
        <f t="shared" si="8"/>
        <v>0</v>
      </c>
      <c r="P20" s="10">
        <f t="shared" si="9"/>
        <v>0</v>
      </c>
      <c r="Q20" s="86">
        <v>1</v>
      </c>
      <c r="R20" s="87">
        <v>300</v>
      </c>
      <c r="S20" s="10">
        <f t="shared" si="10"/>
        <v>2.8236914600550962E-3</v>
      </c>
      <c r="T20" s="10">
        <f t="shared" si="11"/>
        <v>6.9352617079889808E-2</v>
      </c>
      <c r="U20" s="10">
        <f t="shared" si="12"/>
        <v>1.2107438016528926</v>
      </c>
      <c r="V20" s="10">
        <f t="shared" si="13"/>
        <v>8.4710743801652886E-5</v>
      </c>
      <c r="W20" s="10">
        <f t="shared" si="14"/>
        <v>4.1611570247933882E-3</v>
      </c>
    </row>
    <row r="21" spans="1:23">
      <c r="A21" s="83" t="s">
        <v>93</v>
      </c>
      <c r="B21" s="9">
        <v>0.3</v>
      </c>
      <c r="C21" s="86">
        <v>1</v>
      </c>
      <c r="D21" s="87">
        <v>542</v>
      </c>
      <c r="E21" s="10">
        <f t="shared" si="0"/>
        <v>2.015702479338843E-2</v>
      </c>
      <c r="F21" s="10">
        <f t="shared" si="1"/>
        <v>0.20978236914600548</v>
      </c>
      <c r="G21" s="10">
        <f t="shared" si="2"/>
        <v>14.574275482093663</v>
      </c>
      <c r="H21" s="10">
        <f t="shared" si="3"/>
        <v>1.0481652892561984E-2</v>
      </c>
      <c r="I21" s="10">
        <f t="shared" si="4"/>
        <v>9.4402066115702468E-2</v>
      </c>
      <c r="J21" s="80"/>
      <c r="K21" s="81"/>
      <c r="L21" s="10">
        <f t="shared" si="5"/>
        <v>0</v>
      </c>
      <c r="M21" s="10">
        <f t="shared" si="6"/>
        <v>0</v>
      </c>
      <c r="N21" s="10">
        <f t="shared" si="7"/>
        <v>0</v>
      </c>
      <c r="O21" s="10">
        <f t="shared" si="8"/>
        <v>0</v>
      </c>
      <c r="P21" s="10">
        <f t="shared" si="9"/>
        <v>0</v>
      </c>
      <c r="Q21" s="86">
        <v>1</v>
      </c>
      <c r="R21" s="87">
        <v>647</v>
      </c>
      <c r="S21" s="10">
        <f t="shared" si="10"/>
        <v>6.0897612488521576E-3</v>
      </c>
      <c r="T21" s="10">
        <f t="shared" si="11"/>
        <v>0.14957047750229568</v>
      </c>
      <c r="U21" s="10">
        <f t="shared" si="12"/>
        <v>2.6111707988980717</v>
      </c>
      <c r="V21" s="10">
        <f t="shared" si="13"/>
        <v>1.8269283746556473E-4</v>
      </c>
      <c r="W21" s="10">
        <f t="shared" si="14"/>
        <v>8.9742286501377413E-3</v>
      </c>
    </row>
    <row r="22" spans="1:23">
      <c r="A22" s="83" t="s">
        <v>147</v>
      </c>
      <c r="B22" s="9">
        <v>0.3</v>
      </c>
      <c r="C22" s="86">
        <v>1</v>
      </c>
      <c r="D22" s="87">
        <v>501</v>
      </c>
      <c r="E22" s="10">
        <f t="shared" si="0"/>
        <v>1.8632231404958677E-2</v>
      </c>
      <c r="F22" s="10">
        <f t="shared" si="1"/>
        <v>0.19391322314049586</v>
      </c>
      <c r="G22" s="10">
        <f t="shared" si="2"/>
        <v>13.47179338842975</v>
      </c>
      <c r="H22" s="10">
        <f t="shared" si="3"/>
        <v>9.6887603305785119E-3</v>
      </c>
      <c r="I22" s="10">
        <f t="shared" si="4"/>
        <v>8.726095041322314E-2</v>
      </c>
      <c r="J22" s="80">
        <v>1</v>
      </c>
      <c r="K22" s="81">
        <v>255.5</v>
      </c>
      <c r="L22" s="10">
        <f t="shared" si="5"/>
        <v>9.5020661157024806E-3</v>
      </c>
      <c r="M22" s="10">
        <f t="shared" si="6"/>
        <v>9.8891873278236925E-2</v>
      </c>
      <c r="N22" s="10">
        <f t="shared" si="7"/>
        <v>6.8703457300275481</v>
      </c>
      <c r="O22" s="10">
        <f t="shared" si="8"/>
        <v>3.1356818181818187E-3</v>
      </c>
      <c r="P22" s="10">
        <f t="shared" si="9"/>
        <v>2.7689724517906342E-2</v>
      </c>
      <c r="Q22" s="86">
        <v>1</v>
      </c>
      <c r="R22" s="87">
        <v>600</v>
      </c>
      <c r="S22" s="10">
        <f t="shared" si="10"/>
        <v>5.6473829201101923E-3</v>
      </c>
      <c r="T22" s="10">
        <f t="shared" si="11"/>
        <v>0.13870523415977962</v>
      </c>
      <c r="U22" s="10">
        <f t="shared" si="12"/>
        <v>2.4214876033057853</v>
      </c>
      <c r="V22" s="10">
        <f t="shared" si="13"/>
        <v>1.6942148760330577E-4</v>
      </c>
      <c r="W22" s="10">
        <f t="shared" si="14"/>
        <v>8.3223140495867765E-3</v>
      </c>
    </row>
    <row r="23" spans="1:23">
      <c r="A23" s="83" t="s">
        <v>146</v>
      </c>
      <c r="B23" s="9">
        <v>0.3</v>
      </c>
      <c r="C23" s="86">
        <v>1</v>
      </c>
      <c r="D23" s="87">
        <v>501</v>
      </c>
      <c r="E23" s="10">
        <f t="shared" si="0"/>
        <v>1.8632231404958677E-2</v>
      </c>
      <c r="F23" s="10">
        <f t="shared" si="1"/>
        <v>0.19391322314049586</v>
      </c>
      <c r="G23" s="10">
        <f t="shared" si="2"/>
        <v>13.47179338842975</v>
      </c>
      <c r="H23" s="10">
        <f t="shared" si="3"/>
        <v>9.6887603305785119E-3</v>
      </c>
      <c r="I23" s="10">
        <f t="shared" si="4"/>
        <v>8.726095041322314E-2</v>
      </c>
      <c r="J23" s="80">
        <v>1</v>
      </c>
      <c r="K23" s="81">
        <v>255.5</v>
      </c>
      <c r="L23" s="10">
        <f t="shared" si="5"/>
        <v>9.5020661157024806E-3</v>
      </c>
      <c r="M23" s="10">
        <f t="shared" si="6"/>
        <v>9.8891873278236925E-2</v>
      </c>
      <c r="N23" s="10">
        <f t="shared" si="7"/>
        <v>6.8703457300275481</v>
      </c>
      <c r="O23" s="10">
        <f t="shared" si="8"/>
        <v>3.1356818181818187E-3</v>
      </c>
      <c r="P23" s="10">
        <f t="shared" si="9"/>
        <v>2.7689724517906342E-2</v>
      </c>
      <c r="Q23" s="86">
        <v>1</v>
      </c>
      <c r="R23" s="87">
        <v>600</v>
      </c>
      <c r="S23" s="10">
        <f t="shared" si="10"/>
        <v>5.6473829201101923E-3</v>
      </c>
      <c r="T23" s="10">
        <f t="shared" si="11"/>
        <v>0.13870523415977962</v>
      </c>
      <c r="U23" s="10">
        <f t="shared" si="12"/>
        <v>2.4214876033057853</v>
      </c>
      <c r="V23" s="10">
        <f t="shared" si="13"/>
        <v>1.6942148760330577E-4</v>
      </c>
      <c r="W23" s="10">
        <f t="shared" si="14"/>
        <v>8.3223140495867765E-3</v>
      </c>
    </row>
    <row r="24" spans="1:23">
      <c r="A24" s="83" t="s">
        <v>148</v>
      </c>
      <c r="B24" s="9">
        <v>0.3</v>
      </c>
      <c r="C24" s="86">
        <v>1</v>
      </c>
      <c r="D24" s="87">
        <v>501</v>
      </c>
      <c r="E24" s="10">
        <f t="shared" si="0"/>
        <v>1.8632231404958677E-2</v>
      </c>
      <c r="F24" s="10">
        <f t="shared" si="1"/>
        <v>0.19391322314049586</v>
      </c>
      <c r="G24" s="10">
        <f t="shared" si="2"/>
        <v>13.47179338842975</v>
      </c>
      <c r="H24" s="10">
        <f t="shared" si="3"/>
        <v>9.6887603305785119E-3</v>
      </c>
      <c r="I24" s="10">
        <f t="shared" si="4"/>
        <v>8.726095041322314E-2</v>
      </c>
      <c r="J24" s="80">
        <v>1</v>
      </c>
      <c r="K24" s="81">
        <v>255.5</v>
      </c>
      <c r="L24" s="10">
        <f t="shared" si="5"/>
        <v>9.5020661157024806E-3</v>
      </c>
      <c r="M24" s="10">
        <f t="shared" si="6"/>
        <v>9.8891873278236925E-2</v>
      </c>
      <c r="N24" s="10">
        <f t="shared" si="7"/>
        <v>6.8703457300275481</v>
      </c>
      <c r="O24" s="10">
        <f t="shared" si="8"/>
        <v>3.1356818181818187E-3</v>
      </c>
      <c r="P24" s="10">
        <f t="shared" si="9"/>
        <v>2.7689724517906342E-2</v>
      </c>
      <c r="Q24" s="86">
        <v>1</v>
      </c>
      <c r="R24" s="87">
        <v>600</v>
      </c>
      <c r="S24" s="10">
        <f t="shared" si="10"/>
        <v>5.6473829201101923E-3</v>
      </c>
      <c r="T24" s="10">
        <f t="shared" si="11"/>
        <v>0.13870523415977962</v>
      </c>
      <c r="U24" s="10">
        <f t="shared" si="12"/>
        <v>2.4214876033057853</v>
      </c>
      <c r="V24" s="10">
        <f t="shared" si="13"/>
        <v>1.6942148760330577E-4</v>
      </c>
      <c r="W24" s="10">
        <f t="shared" si="14"/>
        <v>8.3223140495867765E-3</v>
      </c>
    </row>
    <row r="25" spans="1:23">
      <c r="A25" s="83" t="s">
        <v>142</v>
      </c>
      <c r="B25" s="9">
        <v>0.4</v>
      </c>
      <c r="C25" s="86">
        <v>1</v>
      </c>
      <c r="D25" s="87">
        <v>550</v>
      </c>
      <c r="E25" s="10">
        <f t="shared" si="0"/>
        <v>2.0454545454545454E-2</v>
      </c>
      <c r="F25" s="10">
        <f t="shared" si="1"/>
        <v>0.21287878787878786</v>
      </c>
      <c r="G25" s="10">
        <f t="shared" si="2"/>
        <v>14.789393939393939</v>
      </c>
      <c r="H25" s="10">
        <f t="shared" si="3"/>
        <v>1.0636363636363637E-2</v>
      </c>
      <c r="I25" s="10">
        <f t="shared" si="4"/>
        <v>9.5795454545454545E-2</v>
      </c>
      <c r="J25" s="80"/>
      <c r="K25" s="81"/>
      <c r="L25" s="10">
        <f t="shared" si="5"/>
        <v>0</v>
      </c>
      <c r="M25" s="10">
        <f t="shared" si="6"/>
        <v>0</v>
      </c>
      <c r="N25" s="10">
        <f t="shared" si="7"/>
        <v>0</v>
      </c>
      <c r="O25" s="10">
        <f t="shared" si="8"/>
        <v>0</v>
      </c>
      <c r="P25" s="10">
        <f t="shared" si="9"/>
        <v>0</v>
      </c>
      <c r="Q25" s="86">
        <v>1</v>
      </c>
      <c r="R25" s="87">
        <v>600</v>
      </c>
      <c r="S25" s="10">
        <f t="shared" si="10"/>
        <v>5.6473829201101923E-3</v>
      </c>
      <c r="T25" s="10">
        <f t="shared" si="11"/>
        <v>0.13870523415977962</v>
      </c>
      <c r="U25" s="10">
        <f t="shared" si="12"/>
        <v>2.4214876033057853</v>
      </c>
      <c r="V25" s="10">
        <f t="shared" si="13"/>
        <v>1.6942148760330577E-4</v>
      </c>
      <c r="W25" s="10">
        <f t="shared" si="14"/>
        <v>8.3223140495867765E-3</v>
      </c>
    </row>
    <row r="26" spans="1:23">
      <c r="A26" s="83" t="s">
        <v>140</v>
      </c>
      <c r="B26" s="9">
        <v>0.4</v>
      </c>
      <c r="C26" s="86">
        <v>1</v>
      </c>
      <c r="D26" s="87">
        <v>550</v>
      </c>
      <c r="E26" s="10">
        <f t="shared" si="0"/>
        <v>2.0454545454545454E-2</v>
      </c>
      <c r="F26" s="10">
        <f t="shared" si="1"/>
        <v>0.21287878787878786</v>
      </c>
      <c r="G26" s="10">
        <f t="shared" si="2"/>
        <v>14.789393939393939</v>
      </c>
      <c r="H26" s="10">
        <f t="shared" si="3"/>
        <v>1.0636363636363637E-2</v>
      </c>
      <c r="I26" s="10">
        <f t="shared" si="4"/>
        <v>9.5795454545454545E-2</v>
      </c>
      <c r="J26" s="80"/>
      <c r="K26" s="81"/>
      <c r="L26" s="10">
        <f t="shared" si="5"/>
        <v>0</v>
      </c>
      <c r="M26" s="10">
        <f t="shared" si="6"/>
        <v>0</v>
      </c>
      <c r="N26" s="10">
        <f t="shared" si="7"/>
        <v>0</v>
      </c>
      <c r="O26" s="10">
        <f t="shared" si="8"/>
        <v>0</v>
      </c>
      <c r="P26" s="10">
        <f t="shared" si="9"/>
        <v>0</v>
      </c>
      <c r="Q26" s="86">
        <v>1</v>
      </c>
      <c r="R26" s="87">
        <v>958</v>
      </c>
      <c r="S26" s="10">
        <f t="shared" si="10"/>
        <v>9.0169880624426067E-3</v>
      </c>
      <c r="T26" s="10">
        <f t="shared" si="11"/>
        <v>0.2214660238751148</v>
      </c>
      <c r="U26" s="10">
        <f t="shared" si="12"/>
        <v>3.866308539944904</v>
      </c>
      <c r="V26" s="10">
        <f t="shared" si="13"/>
        <v>2.7050964187327821E-4</v>
      </c>
      <c r="W26" s="10">
        <f t="shared" si="14"/>
        <v>1.3287961432506887E-2</v>
      </c>
    </row>
    <row r="27" spans="1:23">
      <c r="A27" s="83" t="s">
        <v>116</v>
      </c>
      <c r="B27" s="9">
        <v>0.4</v>
      </c>
      <c r="C27" s="86">
        <v>1</v>
      </c>
      <c r="D27" s="87">
        <v>2010</v>
      </c>
      <c r="E27" s="10">
        <f t="shared" si="0"/>
        <v>7.4752066115702481E-2</v>
      </c>
      <c r="F27" s="10">
        <f t="shared" si="1"/>
        <v>0.77797520661157027</v>
      </c>
      <c r="G27" s="10">
        <f t="shared" si="2"/>
        <v>54.048512396694214</v>
      </c>
      <c r="H27" s="10">
        <f t="shared" si="3"/>
        <v>3.8871074380165294E-2</v>
      </c>
      <c r="I27" s="10">
        <f t="shared" si="4"/>
        <v>0.35008884297520665</v>
      </c>
      <c r="J27" s="80">
        <v>1</v>
      </c>
      <c r="K27" s="81">
        <v>1333</v>
      </c>
      <c r="L27" s="10">
        <f t="shared" si="5"/>
        <v>4.9574380165289263E-2</v>
      </c>
      <c r="M27" s="10">
        <f t="shared" si="6"/>
        <v>0.51594077134986227</v>
      </c>
      <c r="N27" s="10">
        <f t="shared" si="7"/>
        <v>35.844112947658402</v>
      </c>
      <c r="O27" s="10">
        <f t="shared" si="8"/>
        <v>1.6359545454545456E-2</v>
      </c>
      <c r="P27" s="10">
        <f t="shared" si="9"/>
        <v>0.14446341597796145</v>
      </c>
      <c r="Q27" s="86"/>
      <c r="R27" s="87"/>
      <c r="S27" s="10">
        <f t="shared" si="10"/>
        <v>0</v>
      </c>
      <c r="T27" s="10">
        <f t="shared" si="11"/>
        <v>0</v>
      </c>
      <c r="U27" s="10">
        <f t="shared" si="12"/>
        <v>0</v>
      </c>
      <c r="V27" s="10">
        <f t="shared" si="13"/>
        <v>0</v>
      </c>
      <c r="W27" s="10">
        <f t="shared" si="14"/>
        <v>0</v>
      </c>
    </row>
    <row r="28" spans="1:23">
      <c r="A28" s="83" t="s">
        <v>37</v>
      </c>
      <c r="B28" s="9">
        <v>0.3</v>
      </c>
      <c r="C28" s="86">
        <v>1</v>
      </c>
      <c r="D28" s="88">
        <v>900</v>
      </c>
      <c r="E28" s="10">
        <f t="shared" si="0"/>
        <v>3.3471074380165292E-2</v>
      </c>
      <c r="F28" s="10">
        <f t="shared" si="1"/>
        <v>0.3483471074380165</v>
      </c>
      <c r="G28" s="10">
        <f t="shared" si="2"/>
        <v>24.200826446280992</v>
      </c>
      <c r="H28" s="10">
        <f t="shared" si="3"/>
        <v>1.7404958677685951E-2</v>
      </c>
      <c r="I28" s="10">
        <f t="shared" si="4"/>
        <v>0.15675619834710744</v>
      </c>
      <c r="J28" s="80"/>
      <c r="K28" s="82"/>
      <c r="L28" s="10">
        <f t="shared" si="5"/>
        <v>0</v>
      </c>
      <c r="M28" s="10">
        <f t="shared" si="6"/>
        <v>0</v>
      </c>
      <c r="N28" s="10">
        <f t="shared" si="7"/>
        <v>0</v>
      </c>
      <c r="O28" s="10">
        <f t="shared" si="8"/>
        <v>0</v>
      </c>
      <c r="P28" s="10">
        <f t="shared" si="9"/>
        <v>0</v>
      </c>
      <c r="Q28" s="86">
        <v>1</v>
      </c>
      <c r="R28" s="88">
        <v>3750</v>
      </c>
      <c r="S28" s="10">
        <f t="shared" si="10"/>
        <v>3.5296143250688701E-2</v>
      </c>
      <c r="T28" s="10">
        <f t="shared" si="11"/>
        <v>0.86690771349862261</v>
      </c>
      <c r="U28" s="10">
        <f t="shared" si="12"/>
        <v>15.134297520661157</v>
      </c>
      <c r="V28" s="10">
        <f t="shared" si="13"/>
        <v>1.0588842975206611E-3</v>
      </c>
      <c r="W28" s="10">
        <f t="shared" si="14"/>
        <v>5.2014462809917353E-2</v>
      </c>
    </row>
    <row r="29" spans="1:23">
      <c r="A29" s="83" t="s">
        <v>4</v>
      </c>
      <c r="B29" s="9">
        <v>0.5</v>
      </c>
      <c r="C29" s="86">
        <v>1</v>
      </c>
      <c r="D29" s="88">
        <v>1600</v>
      </c>
      <c r="E29" s="10">
        <f t="shared" si="0"/>
        <v>5.9504132231404959E-2</v>
      </c>
      <c r="F29" s="10">
        <f t="shared" si="1"/>
        <v>0.61928374655647378</v>
      </c>
      <c r="G29" s="10">
        <f t="shared" si="2"/>
        <v>43.02369146005509</v>
      </c>
      <c r="H29" s="10">
        <f t="shared" si="3"/>
        <v>3.0942148760330579E-2</v>
      </c>
      <c r="I29" s="10">
        <f t="shared" si="4"/>
        <v>0.2786776859504132</v>
      </c>
      <c r="J29" s="80">
        <v>1</v>
      </c>
      <c r="K29" s="82">
        <v>660</v>
      </c>
      <c r="L29" s="10">
        <f t="shared" si="5"/>
        <v>2.4545454545454547E-2</v>
      </c>
      <c r="M29" s="10">
        <f t="shared" si="6"/>
        <v>0.25545454545454543</v>
      </c>
      <c r="N29" s="10">
        <f t="shared" si="7"/>
        <v>17.747272727272726</v>
      </c>
      <c r="O29" s="10">
        <f t="shared" si="8"/>
        <v>8.1000000000000013E-3</v>
      </c>
      <c r="P29" s="10">
        <f t="shared" si="9"/>
        <v>7.1527272727272731E-2</v>
      </c>
      <c r="Q29" s="86">
        <v>1</v>
      </c>
      <c r="R29" s="88">
        <v>10111</v>
      </c>
      <c r="S29" s="10">
        <f t="shared" si="10"/>
        <v>9.5167814508723594E-2</v>
      </c>
      <c r="T29" s="10">
        <f t="shared" si="11"/>
        <v>2.337414370982553</v>
      </c>
      <c r="U29" s="10">
        <f t="shared" si="12"/>
        <v>40.806101928374659</v>
      </c>
      <c r="V29" s="10">
        <f t="shared" si="13"/>
        <v>2.8550344352617075E-3</v>
      </c>
      <c r="W29" s="10">
        <f t="shared" si="14"/>
        <v>0.14024486225895316</v>
      </c>
    </row>
    <row r="30" spans="1:23">
      <c r="A30" s="83" t="s">
        <v>39</v>
      </c>
      <c r="B30" s="9">
        <v>0.4</v>
      </c>
      <c r="C30" s="86">
        <v>1</v>
      </c>
      <c r="D30" s="88">
        <v>1578.5</v>
      </c>
      <c r="E30" s="10">
        <f t="shared" si="0"/>
        <v>5.8704545454545454E-2</v>
      </c>
      <c r="F30" s="10">
        <f t="shared" si="1"/>
        <v>0.61096212121212112</v>
      </c>
      <c r="G30" s="10">
        <f t="shared" si="2"/>
        <v>42.445560606060603</v>
      </c>
      <c r="H30" s="10">
        <f t="shared" si="3"/>
        <v>3.0526363636363636E-2</v>
      </c>
      <c r="I30" s="10">
        <f t="shared" si="4"/>
        <v>0.27493295454545452</v>
      </c>
      <c r="J30" s="80"/>
      <c r="K30" s="82"/>
      <c r="L30" s="10">
        <f t="shared" si="5"/>
        <v>0</v>
      </c>
      <c r="M30" s="10">
        <f t="shared" si="6"/>
        <v>0</v>
      </c>
      <c r="N30" s="10">
        <f t="shared" si="7"/>
        <v>0</v>
      </c>
      <c r="O30" s="10">
        <f t="shared" si="8"/>
        <v>0</v>
      </c>
      <c r="P30" s="10">
        <f t="shared" si="9"/>
        <v>0</v>
      </c>
      <c r="Q30" s="86"/>
      <c r="R30" s="88"/>
      <c r="S30" s="10">
        <f t="shared" si="10"/>
        <v>0</v>
      </c>
      <c r="T30" s="10">
        <f t="shared" si="11"/>
        <v>0</v>
      </c>
      <c r="U30" s="10">
        <f t="shared" si="12"/>
        <v>0</v>
      </c>
      <c r="V30" s="10">
        <f t="shared" si="13"/>
        <v>0</v>
      </c>
      <c r="W30" s="10">
        <f t="shared" si="14"/>
        <v>0</v>
      </c>
    </row>
    <row r="31" spans="1:23">
      <c r="A31" s="83" t="s">
        <v>35</v>
      </c>
      <c r="B31" s="9">
        <v>0.4</v>
      </c>
      <c r="C31" s="86">
        <v>1</v>
      </c>
      <c r="D31" s="88">
        <v>3233</v>
      </c>
      <c r="E31" s="10">
        <f t="shared" si="0"/>
        <v>0.12023553719008266</v>
      </c>
      <c r="F31" s="10">
        <f t="shared" si="1"/>
        <v>1.2513402203856749</v>
      </c>
      <c r="G31" s="10">
        <f t="shared" si="2"/>
        <v>86.934746556473826</v>
      </c>
      <c r="H31" s="10">
        <f t="shared" si="3"/>
        <v>6.2522479338842987E-2</v>
      </c>
      <c r="I31" s="10">
        <f t="shared" si="4"/>
        <v>0.56310309917355372</v>
      </c>
      <c r="J31" s="80"/>
      <c r="K31" s="82"/>
      <c r="L31" s="10">
        <f t="shared" si="5"/>
        <v>0</v>
      </c>
      <c r="M31" s="10">
        <f t="shared" si="6"/>
        <v>0</v>
      </c>
      <c r="N31" s="10">
        <f t="shared" si="7"/>
        <v>0</v>
      </c>
      <c r="O31" s="10">
        <f t="shared" si="8"/>
        <v>0</v>
      </c>
      <c r="P31" s="10">
        <f t="shared" si="9"/>
        <v>0</v>
      </c>
      <c r="Q31" s="86">
        <v>1</v>
      </c>
      <c r="R31" s="88">
        <v>14000</v>
      </c>
      <c r="S31" s="10">
        <f t="shared" si="10"/>
        <v>0.13177226813590448</v>
      </c>
      <c r="T31" s="10">
        <f t="shared" si="11"/>
        <v>3.2364554637281908</v>
      </c>
      <c r="U31" s="10">
        <f t="shared" si="12"/>
        <v>56.501377410468322</v>
      </c>
      <c r="V31" s="10">
        <f t="shared" si="13"/>
        <v>3.9531680440771343E-3</v>
      </c>
      <c r="W31" s="10">
        <f t="shared" si="14"/>
        <v>0.19418732782369144</v>
      </c>
    </row>
    <row r="32" spans="1:23">
      <c r="A32" s="83" t="s">
        <v>71</v>
      </c>
      <c r="B32" s="9">
        <v>0.4</v>
      </c>
      <c r="C32" s="86">
        <v>1</v>
      </c>
      <c r="D32" s="87">
        <v>2548</v>
      </c>
      <c r="E32" s="10">
        <f t="shared" si="0"/>
        <v>9.4760330578512408E-2</v>
      </c>
      <c r="F32" s="10">
        <f t="shared" si="1"/>
        <v>0.98620936639118451</v>
      </c>
      <c r="G32" s="10">
        <f t="shared" si="2"/>
        <v>68.515228650137743</v>
      </c>
      <c r="H32" s="10">
        <f t="shared" si="3"/>
        <v>4.9275371900826453E-2</v>
      </c>
      <c r="I32" s="10">
        <f t="shared" si="4"/>
        <v>0.44379421487603304</v>
      </c>
      <c r="J32" s="80"/>
      <c r="K32" s="81"/>
      <c r="L32" s="10">
        <f t="shared" si="5"/>
        <v>0</v>
      </c>
      <c r="M32" s="10">
        <f t="shared" si="6"/>
        <v>0</v>
      </c>
      <c r="N32" s="10">
        <f t="shared" si="7"/>
        <v>0</v>
      </c>
      <c r="O32" s="10">
        <f t="shared" si="8"/>
        <v>0</v>
      </c>
      <c r="P32" s="10">
        <f t="shared" si="9"/>
        <v>0</v>
      </c>
      <c r="Q32" s="86">
        <v>1</v>
      </c>
      <c r="R32" s="87">
        <v>7433</v>
      </c>
      <c r="S32" s="10">
        <f t="shared" si="10"/>
        <v>6.9961662075298428E-2</v>
      </c>
      <c r="T32" s="10">
        <f t="shared" si="11"/>
        <v>1.7183266758494031</v>
      </c>
      <c r="U32" s="10">
        <f t="shared" si="12"/>
        <v>29.998195592286503</v>
      </c>
      <c r="V32" s="10">
        <f t="shared" si="13"/>
        <v>2.0988498622589529E-3</v>
      </c>
      <c r="W32" s="10">
        <f t="shared" si="14"/>
        <v>0.10309960055096419</v>
      </c>
    </row>
    <row r="33" spans="1:23">
      <c r="A33" s="83" t="s">
        <v>104</v>
      </c>
      <c r="B33" s="9">
        <v>0.4</v>
      </c>
      <c r="C33" s="86">
        <v>1</v>
      </c>
      <c r="D33" s="87"/>
      <c r="E33" s="10">
        <f t="shared" si="0"/>
        <v>0</v>
      </c>
      <c r="F33" s="10">
        <f t="shared" si="1"/>
        <v>0</v>
      </c>
      <c r="G33" s="10">
        <f t="shared" si="2"/>
        <v>0</v>
      </c>
      <c r="H33" s="10">
        <f t="shared" si="3"/>
        <v>0</v>
      </c>
      <c r="I33" s="10">
        <f t="shared" si="4"/>
        <v>0</v>
      </c>
      <c r="J33" s="80"/>
      <c r="K33" s="81"/>
      <c r="L33" s="10">
        <f t="shared" si="5"/>
        <v>0</v>
      </c>
      <c r="M33" s="10">
        <f t="shared" si="6"/>
        <v>0</v>
      </c>
      <c r="N33" s="10">
        <f t="shared" si="7"/>
        <v>0</v>
      </c>
      <c r="O33" s="10">
        <f t="shared" si="8"/>
        <v>0</v>
      </c>
      <c r="P33" s="10">
        <f t="shared" si="9"/>
        <v>0</v>
      </c>
      <c r="Q33" s="86">
        <v>1</v>
      </c>
      <c r="R33" s="87">
        <v>25000</v>
      </c>
      <c r="S33" s="10">
        <f t="shared" si="10"/>
        <v>0.23530762167125799</v>
      </c>
      <c r="T33" s="10">
        <f t="shared" si="11"/>
        <v>5.7793847566574836</v>
      </c>
      <c r="U33" s="10">
        <f t="shared" si="12"/>
        <v>100.89531680440771</v>
      </c>
      <c r="V33" s="10">
        <f t="shared" si="13"/>
        <v>7.0592286501377395E-3</v>
      </c>
      <c r="W33" s="10">
        <f t="shared" si="14"/>
        <v>0.346763085399449</v>
      </c>
    </row>
    <row r="34" spans="1:23">
      <c r="A34" s="83" t="s">
        <v>30</v>
      </c>
      <c r="B34" s="9">
        <v>0.5</v>
      </c>
      <c r="C34" s="86">
        <v>1</v>
      </c>
      <c r="D34" s="88">
        <v>1933</v>
      </c>
      <c r="E34" s="10">
        <f t="shared" ref="E34:E65" si="15">(D34/43560)*1.62</f>
        <v>7.1888429752066121E-2</v>
      </c>
      <c r="F34" s="10">
        <f t="shared" ref="F34:F65" si="16">(D34/43560)*16.86</f>
        <v>0.74817217630853983</v>
      </c>
      <c r="G34" s="10">
        <f t="shared" ref="G34:G65" si="17">(D34/43560)*1171.32</f>
        <v>51.977997245179054</v>
      </c>
      <c r="H34" s="10">
        <f t="shared" ref="H34:H65" si="18">E34*0.52</f>
        <v>3.7381983471074381E-2</v>
      </c>
      <c r="I34" s="10">
        <f t="shared" ref="I34:I65" si="19">F34*0.45</f>
        <v>0.33667747933884296</v>
      </c>
      <c r="J34" s="80"/>
      <c r="K34" s="82"/>
      <c r="L34" s="10">
        <f t="shared" ref="L34:L65" si="20">(K34/43560)*1.62</f>
        <v>0</v>
      </c>
      <c r="M34" s="10">
        <f t="shared" ref="M34:M65" si="21">(K34/43560)*16.86</f>
        <v>0</v>
      </c>
      <c r="N34" s="10">
        <f t="shared" ref="N34:N65" si="22">(K34/43560)*1171.32</f>
        <v>0</v>
      </c>
      <c r="O34" s="10">
        <f t="shared" ref="O34:O65" si="23">L34*0.33</f>
        <v>0</v>
      </c>
      <c r="P34" s="10">
        <f t="shared" ref="P34:P65" si="24">M34*0.28</f>
        <v>0</v>
      </c>
      <c r="Q34" s="86">
        <v>1</v>
      </c>
      <c r="R34" s="88">
        <v>7000</v>
      </c>
      <c r="S34" s="10">
        <f t="shared" si="10"/>
        <v>6.588613406795224E-2</v>
      </c>
      <c r="T34" s="10">
        <f t="shared" si="11"/>
        <v>1.6182277318640954</v>
      </c>
      <c r="U34" s="10">
        <f t="shared" si="12"/>
        <v>28.250688705234161</v>
      </c>
      <c r="V34" s="10">
        <f t="shared" ref="V34:V65" si="25">S34*0.03</f>
        <v>1.9765840220385671E-3</v>
      </c>
      <c r="W34" s="10">
        <f t="shared" ref="W34:W65" si="26">T34*0.06</f>
        <v>9.7093663911845721E-2</v>
      </c>
    </row>
    <row r="35" spans="1:23">
      <c r="A35" s="83" t="s">
        <v>131</v>
      </c>
      <c r="B35" s="9">
        <v>0.5</v>
      </c>
      <c r="C35" s="86">
        <v>1</v>
      </c>
      <c r="D35" s="87">
        <v>2194</v>
      </c>
      <c r="E35" s="10">
        <f t="shared" si="15"/>
        <v>8.1595041322314057E-2</v>
      </c>
      <c r="F35" s="10">
        <f t="shared" si="16"/>
        <v>0.84919283746556473</v>
      </c>
      <c r="G35" s="10">
        <f t="shared" si="17"/>
        <v>58.996236914600551</v>
      </c>
      <c r="H35" s="10">
        <f t="shared" si="18"/>
        <v>4.2429421487603314E-2</v>
      </c>
      <c r="I35" s="10">
        <f t="shared" si="19"/>
        <v>0.38213677685950415</v>
      </c>
      <c r="J35" s="80"/>
      <c r="K35" s="81"/>
      <c r="L35" s="10">
        <f t="shared" si="20"/>
        <v>0</v>
      </c>
      <c r="M35" s="10">
        <f t="shared" si="21"/>
        <v>0</v>
      </c>
      <c r="N35" s="10">
        <f t="shared" si="22"/>
        <v>0</v>
      </c>
      <c r="O35" s="10">
        <f t="shared" si="23"/>
        <v>0</v>
      </c>
      <c r="P35" s="10">
        <f t="shared" si="24"/>
        <v>0</v>
      </c>
      <c r="Q35" s="86">
        <v>1</v>
      </c>
      <c r="R35" s="87">
        <v>2200</v>
      </c>
      <c r="S35" s="10">
        <f t="shared" si="10"/>
        <v>2.0707070707070705E-2</v>
      </c>
      <c r="T35" s="10">
        <f t="shared" si="11"/>
        <v>0.50858585858585859</v>
      </c>
      <c r="U35" s="10">
        <f t="shared" si="12"/>
        <v>8.8787878787878789</v>
      </c>
      <c r="V35" s="10">
        <f t="shared" si="25"/>
        <v>6.2121212121212118E-4</v>
      </c>
      <c r="W35" s="10">
        <f t="shared" si="26"/>
        <v>3.0515151515151513E-2</v>
      </c>
    </row>
    <row r="36" spans="1:23">
      <c r="A36" s="93" t="s">
        <v>76</v>
      </c>
      <c r="B36" s="9">
        <v>0.3</v>
      </c>
      <c r="C36" s="86">
        <v>1</v>
      </c>
      <c r="D36" s="87">
        <v>2143</v>
      </c>
      <c r="E36" s="10">
        <f t="shared" si="15"/>
        <v>7.969834710743802E-2</v>
      </c>
      <c r="F36" s="10">
        <f t="shared" si="16"/>
        <v>0.82945316804407709</v>
      </c>
      <c r="G36" s="10">
        <f t="shared" si="17"/>
        <v>57.624856749311292</v>
      </c>
      <c r="H36" s="10">
        <f t="shared" si="18"/>
        <v>4.1443140495867774E-2</v>
      </c>
      <c r="I36" s="10">
        <f t="shared" si="19"/>
        <v>0.37325392561983473</v>
      </c>
      <c r="J36" s="80"/>
      <c r="K36" s="81"/>
      <c r="L36" s="10">
        <f t="shared" si="20"/>
        <v>0</v>
      </c>
      <c r="M36" s="10">
        <f t="shared" si="21"/>
        <v>0</v>
      </c>
      <c r="N36" s="10">
        <f t="shared" si="22"/>
        <v>0</v>
      </c>
      <c r="O36" s="10">
        <f t="shared" si="23"/>
        <v>0</v>
      </c>
      <c r="P36" s="10">
        <f t="shared" si="24"/>
        <v>0</v>
      </c>
      <c r="Q36" s="86">
        <v>1</v>
      </c>
      <c r="R36" s="87">
        <v>13794</v>
      </c>
      <c r="S36" s="10">
        <f t="shared" si="10"/>
        <v>0.12983333333333333</v>
      </c>
      <c r="T36" s="10">
        <f t="shared" si="11"/>
        <v>3.1888333333333332</v>
      </c>
      <c r="U36" s="10">
        <f t="shared" si="12"/>
        <v>55.67</v>
      </c>
      <c r="V36" s="10">
        <f t="shared" si="25"/>
        <v>3.8949999999999996E-3</v>
      </c>
      <c r="W36" s="10">
        <f t="shared" si="26"/>
        <v>0.19132999999999997</v>
      </c>
    </row>
    <row r="37" spans="1:23">
      <c r="A37" s="93" t="s">
        <v>137</v>
      </c>
      <c r="B37" s="9">
        <v>0.4</v>
      </c>
      <c r="C37" s="86">
        <v>1</v>
      </c>
      <c r="D37" s="87">
        <v>5900</v>
      </c>
      <c r="E37" s="10">
        <f t="shared" si="15"/>
        <v>0.21942148760330579</v>
      </c>
      <c r="F37" s="10">
        <f t="shared" si="16"/>
        <v>2.2836088154269971</v>
      </c>
      <c r="G37" s="10">
        <f t="shared" si="17"/>
        <v>158.64986225895316</v>
      </c>
      <c r="H37" s="10">
        <f t="shared" si="18"/>
        <v>0.11409917355371901</v>
      </c>
      <c r="I37" s="10">
        <f t="shared" si="19"/>
        <v>1.0276239669421487</v>
      </c>
      <c r="J37" s="80"/>
      <c r="K37" s="81"/>
      <c r="L37" s="10">
        <f t="shared" si="20"/>
        <v>0</v>
      </c>
      <c r="M37" s="10">
        <f t="shared" si="21"/>
        <v>0</v>
      </c>
      <c r="N37" s="10">
        <f t="shared" si="22"/>
        <v>0</v>
      </c>
      <c r="O37" s="10">
        <f t="shared" si="23"/>
        <v>0</v>
      </c>
      <c r="P37" s="10">
        <f t="shared" si="24"/>
        <v>0</v>
      </c>
      <c r="Q37" s="86">
        <v>1</v>
      </c>
      <c r="R37" s="87">
        <v>13000</v>
      </c>
      <c r="S37" s="10">
        <f t="shared" si="10"/>
        <v>0.12235996326905417</v>
      </c>
      <c r="T37" s="10">
        <f t="shared" si="11"/>
        <v>3.0052800734618916</v>
      </c>
      <c r="U37" s="10">
        <f t="shared" si="12"/>
        <v>52.465564738292017</v>
      </c>
      <c r="V37" s="10">
        <f t="shared" si="25"/>
        <v>3.6707988980716252E-3</v>
      </c>
      <c r="W37" s="10">
        <f t="shared" si="26"/>
        <v>0.1803168044077135</v>
      </c>
    </row>
    <row r="38" spans="1:23">
      <c r="A38" s="83" t="s">
        <v>42</v>
      </c>
      <c r="B38" s="9">
        <v>0.5</v>
      </c>
      <c r="C38" s="86">
        <v>1</v>
      </c>
      <c r="D38" s="88">
        <v>3604</v>
      </c>
      <c r="E38" s="10">
        <f t="shared" si="15"/>
        <v>0.13403305785123967</v>
      </c>
      <c r="F38" s="10">
        <f t="shared" si="16"/>
        <v>1.3949366391184572</v>
      </c>
      <c r="G38" s="10">
        <f t="shared" si="17"/>
        <v>96.910865013774099</v>
      </c>
      <c r="H38" s="10">
        <f t="shared" si="18"/>
        <v>6.9697190082644633E-2</v>
      </c>
      <c r="I38" s="10">
        <f t="shared" si="19"/>
        <v>0.62772148760330582</v>
      </c>
      <c r="J38" s="80">
        <v>1</v>
      </c>
      <c r="K38" s="82">
        <v>1500</v>
      </c>
      <c r="L38" s="10">
        <f t="shared" si="20"/>
        <v>5.5785123966942157E-2</v>
      </c>
      <c r="M38" s="10">
        <f t="shared" si="21"/>
        <v>0.58057851239669422</v>
      </c>
      <c r="N38" s="10">
        <f t="shared" si="22"/>
        <v>40.334710743801651</v>
      </c>
      <c r="O38" s="10">
        <f t="shared" si="23"/>
        <v>1.8409090909090913E-2</v>
      </c>
      <c r="P38" s="10">
        <f t="shared" si="24"/>
        <v>0.16256198347107439</v>
      </c>
      <c r="Q38" s="86">
        <v>1</v>
      </c>
      <c r="R38" s="88">
        <v>31974</v>
      </c>
      <c r="S38" s="10">
        <f t="shared" si="10"/>
        <v>0.30094903581267218</v>
      </c>
      <c r="T38" s="10">
        <f t="shared" si="11"/>
        <v>7.3916019283746559</v>
      </c>
      <c r="U38" s="10">
        <f t="shared" si="12"/>
        <v>129.0410743801653</v>
      </c>
      <c r="V38" s="10">
        <f t="shared" si="25"/>
        <v>9.0284710743801649E-3</v>
      </c>
      <c r="W38" s="10">
        <f t="shared" si="26"/>
        <v>0.44349611570247932</v>
      </c>
    </row>
    <row r="39" spans="1:23">
      <c r="A39" s="83" t="s">
        <v>99</v>
      </c>
      <c r="B39" s="9">
        <v>0.4</v>
      </c>
      <c r="C39" s="86">
        <v>1</v>
      </c>
      <c r="D39" s="87">
        <v>702.4</v>
      </c>
      <c r="E39" s="10">
        <f t="shared" si="15"/>
        <v>2.6122314049586776E-2</v>
      </c>
      <c r="F39" s="10">
        <f t="shared" si="16"/>
        <v>0.27186556473829199</v>
      </c>
      <c r="G39" s="10">
        <f t="shared" si="17"/>
        <v>18.887400550964184</v>
      </c>
      <c r="H39" s="10">
        <f t="shared" si="18"/>
        <v>1.3583603305785124E-2</v>
      </c>
      <c r="I39" s="10">
        <f t="shared" si="19"/>
        <v>0.12233950413223139</v>
      </c>
      <c r="J39" s="80"/>
      <c r="K39" s="81"/>
      <c r="L39" s="10">
        <f t="shared" si="20"/>
        <v>0</v>
      </c>
      <c r="M39" s="10">
        <f t="shared" si="21"/>
        <v>0</v>
      </c>
      <c r="N39" s="10">
        <f t="shared" si="22"/>
        <v>0</v>
      </c>
      <c r="O39" s="10">
        <f t="shared" si="23"/>
        <v>0</v>
      </c>
      <c r="P39" s="10">
        <f t="shared" si="24"/>
        <v>0</v>
      </c>
      <c r="Q39" s="86">
        <v>1</v>
      </c>
      <c r="R39" s="87">
        <v>3221</v>
      </c>
      <c r="S39" s="10">
        <f t="shared" si="10"/>
        <v>3.0317033976124882E-2</v>
      </c>
      <c r="T39" s="10">
        <f t="shared" si="11"/>
        <v>0.74461593204775023</v>
      </c>
      <c r="U39" s="10">
        <f t="shared" si="12"/>
        <v>12.999352617079889</v>
      </c>
      <c r="V39" s="10">
        <f t="shared" si="25"/>
        <v>9.0951101928374647E-4</v>
      </c>
      <c r="W39" s="10">
        <f t="shared" si="26"/>
        <v>4.4676955922865011E-2</v>
      </c>
    </row>
    <row r="40" spans="1:23">
      <c r="A40" s="83" t="s">
        <v>161</v>
      </c>
      <c r="B40" s="9">
        <v>0.5</v>
      </c>
      <c r="C40" s="86">
        <v>1</v>
      </c>
      <c r="D40" s="88">
        <v>1200</v>
      </c>
      <c r="E40" s="10">
        <f t="shared" si="15"/>
        <v>4.4628099173553724E-2</v>
      </c>
      <c r="F40" s="10">
        <f t="shared" si="16"/>
        <v>0.46446280991735539</v>
      </c>
      <c r="G40" s="10">
        <f t="shared" si="17"/>
        <v>32.267768595041325</v>
      </c>
      <c r="H40" s="10">
        <f t="shared" si="18"/>
        <v>2.3206611570247938E-2</v>
      </c>
      <c r="I40" s="10">
        <f t="shared" si="19"/>
        <v>0.20900826446280993</v>
      </c>
      <c r="J40" s="80">
        <v>1</v>
      </c>
      <c r="K40" s="82">
        <v>850</v>
      </c>
      <c r="L40" s="10">
        <f t="shared" si="20"/>
        <v>3.1611570247933887E-2</v>
      </c>
      <c r="M40" s="10">
        <f t="shared" si="21"/>
        <v>0.32899449035812672</v>
      </c>
      <c r="N40" s="10">
        <f t="shared" si="22"/>
        <v>22.856336088154272</v>
      </c>
      <c r="O40" s="10">
        <f t="shared" si="23"/>
        <v>1.0431818181818183E-2</v>
      </c>
      <c r="P40" s="10">
        <f t="shared" si="24"/>
        <v>9.2118457300275486E-2</v>
      </c>
      <c r="Q40" s="86">
        <v>1</v>
      </c>
      <c r="R40" s="88">
        <v>7593</v>
      </c>
      <c r="S40" s="10">
        <f t="shared" si="10"/>
        <v>7.146763085399449E-2</v>
      </c>
      <c r="T40" s="10">
        <f t="shared" si="11"/>
        <v>1.7553147382920111</v>
      </c>
      <c r="U40" s="10">
        <f t="shared" si="12"/>
        <v>30.643925619834715</v>
      </c>
      <c r="V40" s="10">
        <f t="shared" si="25"/>
        <v>2.1440289256198348E-3</v>
      </c>
      <c r="W40" s="10">
        <f t="shared" si="26"/>
        <v>0.10531888429752066</v>
      </c>
    </row>
    <row r="41" spans="1:23">
      <c r="A41" s="83" t="s">
        <v>64</v>
      </c>
      <c r="B41" s="9">
        <v>0.4</v>
      </c>
      <c r="C41" s="86">
        <v>1</v>
      </c>
      <c r="D41" s="87"/>
      <c r="E41" s="10">
        <f t="shared" si="15"/>
        <v>0</v>
      </c>
      <c r="F41" s="10">
        <f t="shared" si="16"/>
        <v>0</v>
      </c>
      <c r="G41" s="10">
        <f t="shared" si="17"/>
        <v>0</v>
      </c>
      <c r="H41" s="10">
        <f t="shared" si="18"/>
        <v>0</v>
      </c>
      <c r="I41" s="10">
        <f t="shared" si="19"/>
        <v>0</v>
      </c>
      <c r="J41" s="80"/>
      <c r="K41" s="81"/>
      <c r="L41" s="10">
        <f t="shared" si="20"/>
        <v>0</v>
      </c>
      <c r="M41" s="10">
        <f t="shared" si="21"/>
        <v>0</v>
      </c>
      <c r="N41" s="10">
        <f t="shared" si="22"/>
        <v>0</v>
      </c>
      <c r="O41" s="10">
        <f t="shared" si="23"/>
        <v>0</v>
      </c>
      <c r="P41" s="10">
        <f t="shared" si="24"/>
        <v>0</v>
      </c>
      <c r="Q41" s="86">
        <v>1</v>
      </c>
      <c r="R41" s="87"/>
      <c r="S41" s="10">
        <f t="shared" si="10"/>
        <v>0</v>
      </c>
      <c r="T41" s="10">
        <f t="shared" si="11"/>
        <v>0</v>
      </c>
      <c r="U41" s="10">
        <f t="shared" si="12"/>
        <v>0</v>
      </c>
      <c r="V41" s="10">
        <f t="shared" si="25"/>
        <v>0</v>
      </c>
      <c r="W41" s="10">
        <f t="shared" si="26"/>
        <v>0</v>
      </c>
    </row>
    <row r="42" spans="1:23">
      <c r="A42" s="83" t="s">
        <v>63</v>
      </c>
      <c r="B42" s="9">
        <v>0.4</v>
      </c>
      <c r="C42" s="86">
        <v>1</v>
      </c>
      <c r="D42" s="87">
        <v>1470</v>
      </c>
      <c r="E42" s="10">
        <f t="shared" si="15"/>
        <v>5.4669421487603308E-2</v>
      </c>
      <c r="F42" s="10">
        <f t="shared" si="16"/>
        <v>0.56896694214876031</v>
      </c>
      <c r="G42" s="10">
        <f t="shared" si="17"/>
        <v>39.528016528925619</v>
      </c>
      <c r="H42" s="10">
        <f t="shared" si="18"/>
        <v>2.8428099173553722E-2</v>
      </c>
      <c r="I42" s="10">
        <f t="shared" si="19"/>
        <v>0.25603512396694217</v>
      </c>
      <c r="J42" s="80"/>
      <c r="K42" s="81"/>
      <c r="L42" s="10">
        <f t="shared" si="20"/>
        <v>0</v>
      </c>
      <c r="M42" s="10">
        <f t="shared" si="21"/>
        <v>0</v>
      </c>
      <c r="N42" s="10">
        <f t="shared" si="22"/>
        <v>0</v>
      </c>
      <c r="O42" s="10">
        <f t="shared" si="23"/>
        <v>0</v>
      </c>
      <c r="P42" s="10">
        <f t="shared" si="24"/>
        <v>0</v>
      </c>
      <c r="Q42" s="86">
        <v>1</v>
      </c>
      <c r="R42" s="87">
        <v>7272</v>
      </c>
      <c r="S42" s="10">
        <f t="shared" si="10"/>
        <v>6.8446280991735539E-2</v>
      </c>
      <c r="T42" s="10">
        <f t="shared" si="11"/>
        <v>1.6811074380165292</v>
      </c>
      <c r="U42" s="10">
        <f t="shared" si="12"/>
        <v>29.348429752066121</v>
      </c>
      <c r="V42" s="10">
        <f t="shared" si="25"/>
        <v>2.0533884297520661E-3</v>
      </c>
      <c r="W42" s="10">
        <f t="shared" si="26"/>
        <v>0.10086644628099174</v>
      </c>
    </row>
    <row r="43" spans="1:23">
      <c r="A43" s="83" t="s">
        <v>121</v>
      </c>
      <c r="B43" s="9">
        <v>0.5</v>
      </c>
      <c r="C43" s="86" t="s">
        <v>203</v>
      </c>
      <c r="D43" s="87"/>
      <c r="E43" s="10">
        <f t="shared" si="15"/>
        <v>0</v>
      </c>
      <c r="F43" s="10">
        <f t="shared" si="16"/>
        <v>0</v>
      </c>
      <c r="G43" s="10">
        <f t="shared" si="17"/>
        <v>0</v>
      </c>
      <c r="H43" s="10">
        <f t="shared" si="18"/>
        <v>0</v>
      </c>
      <c r="I43" s="10">
        <f t="shared" si="19"/>
        <v>0</v>
      </c>
      <c r="J43" s="80">
        <v>1</v>
      </c>
      <c r="K43" s="81">
        <v>400</v>
      </c>
      <c r="L43" s="10">
        <f t="shared" si="20"/>
        <v>1.487603305785124E-2</v>
      </c>
      <c r="M43" s="10">
        <f t="shared" si="21"/>
        <v>0.15482093663911844</v>
      </c>
      <c r="N43" s="10">
        <f t="shared" si="22"/>
        <v>10.755922865013773</v>
      </c>
      <c r="O43" s="10">
        <f t="shared" si="23"/>
        <v>4.909090909090909E-3</v>
      </c>
      <c r="P43" s="10">
        <f t="shared" si="24"/>
        <v>4.3349862258953167E-2</v>
      </c>
      <c r="Q43" s="86"/>
      <c r="R43" s="87"/>
      <c r="S43" s="10">
        <f t="shared" si="10"/>
        <v>0</v>
      </c>
      <c r="T43" s="10">
        <f t="shared" si="11"/>
        <v>0</v>
      </c>
      <c r="U43" s="10">
        <f t="shared" si="12"/>
        <v>0</v>
      </c>
      <c r="V43" s="10">
        <f t="shared" si="25"/>
        <v>0</v>
      </c>
      <c r="W43" s="10">
        <f t="shared" si="26"/>
        <v>0</v>
      </c>
    </row>
    <row r="44" spans="1:23">
      <c r="A44" s="83" t="s">
        <v>107</v>
      </c>
      <c r="B44" s="9">
        <v>0.4</v>
      </c>
      <c r="C44" s="86">
        <v>1</v>
      </c>
      <c r="D44" s="87">
        <v>1800</v>
      </c>
      <c r="E44" s="10">
        <f t="shared" si="15"/>
        <v>6.6942148760330583E-2</v>
      </c>
      <c r="F44" s="10">
        <f t="shared" si="16"/>
        <v>0.696694214876033</v>
      </c>
      <c r="G44" s="10">
        <f t="shared" si="17"/>
        <v>48.401652892561984</v>
      </c>
      <c r="H44" s="10">
        <f t="shared" si="18"/>
        <v>3.4809917355371901E-2</v>
      </c>
      <c r="I44" s="10">
        <f t="shared" si="19"/>
        <v>0.31351239669421488</v>
      </c>
      <c r="J44" s="80"/>
      <c r="K44" s="81"/>
      <c r="L44" s="10">
        <f t="shared" si="20"/>
        <v>0</v>
      </c>
      <c r="M44" s="10">
        <f t="shared" si="21"/>
        <v>0</v>
      </c>
      <c r="N44" s="10">
        <f t="shared" si="22"/>
        <v>0</v>
      </c>
      <c r="O44" s="10">
        <f t="shared" si="23"/>
        <v>0</v>
      </c>
      <c r="P44" s="10">
        <f t="shared" si="24"/>
        <v>0</v>
      </c>
      <c r="Q44" s="86">
        <v>1</v>
      </c>
      <c r="R44" s="87">
        <v>9090</v>
      </c>
      <c r="S44" s="10">
        <f t="shared" si="10"/>
        <v>8.5557851239669414E-2</v>
      </c>
      <c r="T44" s="10">
        <f t="shared" si="11"/>
        <v>2.1013842975206614</v>
      </c>
      <c r="U44" s="10">
        <f t="shared" si="12"/>
        <v>36.685537190082648</v>
      </c>
      <c r="V44" s="10">
        <f t="shared" si="25"/>
        <v>2.5667355371900825E-3</v>
      </c>
      <c r="W44" s="10">
        <f t="shared" si="26"/>
        <v>0.12608305785123969</v>
      </c>
    </row>
    <row r="45" spans="1:23">
      <c r="A45" s="83" t="s">
        <v>80</v>
      </c>
      <c r="B45" s="9">
        <v>0.5</v>
      </c>
      <c r="C45" s="86">
        <v>1</v>
      </c>
      <c r="D45" s="87">
        <v>3017.8</v>
      </c>
      <c r="E45" s="10">
        <f t="shared" si="15"/>
        <v>0.11223223140495871</v>
      </c>
      <c r="F45" s="10">
        <f t="shared" si="16"/>
        <v>1.1680465564738294</v>
      </c>
      <c r="G45" s="10">
        <f t="shared" si="17"/>
        <v>81.148060055096423</v>
      </c>
      <c r="H45" s="10">
        <f t="shared" si="18"/>
        <v>5.8360760330578527E-2</v>
      </c>
      <c r="I45" s="10">
        <f t="shared" si="19"/>
        <v>0.52562095041322321</v>
      </c>
      <c r="J45" s="80">
        <v>1</v>
      </c>
      <c r="K45" s="81">
        <v>3017</v>
      </c>
      <c r="L45" s="10">
        <f t="shared" si="20"/>
        <v>0.11220247933884298</v>
      </c>
      <c r="M45" s="10">
        <f t="shared" si="21"/>
        <v>1.167736914600551</v>
      </c>
      <c r="N45" s="10">
        <f t="shared" si="22"/>
        <v>81.126548209366391</v>
      </c>
      <c r="O45" s="10">
        <f t="shared" si="23"/>
        <v>3.7026818181818182E-2</v>
      </c>
      <c r="P45" s="10">
        <f t="shared" si="24"/>
        <v>0.32696633608815429</v>
      </c>
      <c r="Q45" s="86">
        <v>1</v>
      </c>
      <c r="R45" s="87">
        <v>25959</v>
      </c>
      <c r="S45" s="10">
        <f t="shared" si="10"/>
        <v>0.24433402203856747</v>
      </c>
      <c r="T45" s="10">
        <f t="shared" si="11"/>
        <v>6.0010819559228654</v>
      </c>
      <c r="U45" s="10">
        <f t="shared" si="12"/>
        <v>104.76566115702479</v>
      </c>
      <c r="V45" s="10">
        <f t="shared" si="25"/>
        <v>7.3300206611570237E-3</v>
      </c>
      <c r="W45" s="10">
        <f t="shared" si="26"/>
        <v>0.36006491735537194</v>
      </c>
    </row>
    <row r="46" spans="1:23">
      <c r="A46" s="83" t="s">
        <v>34</v>
      </c>
      <c r="B46" s="9">
        <v>0.4</v>
      </c>
      <c r="C46" s="86">
        <v>1</v>
      </c>
      <c r="D46" s="88"/>
      <c r="E46" s="10">
        <f t="shared" si="15"/>
        <v>0</v>
      </c>
      <c r="F46" s="10">
        <f t="shared" si="16"/>
        <v>0</v>
      </c>
      <c r="G46" s="10">
        <f t="shared" si="17"/>
        <v>0</v>
      </c>
      <c r="H46" s="10">
        <f t="shared" si="18"/>
        <v>0</v>
      </c>
      <c r="I46" s="10">
        <f t="shared" si="19"/>
        <v>0</v>
      </c>
      <c r="J46" s="80"/>
      <c r="K46" s="82"/>
      <c r="L46" s="10">
        <f t="shared" si="20"/>
        <v>0</v>
      </c>
      <c r="M46" s="10">
        <f t="shared" si="21"/>
        <v>0</v>
      </c>
      <c r="N46" s="10">
        <f t="shared" si="22"/>
        <v>0</v>
      </c>
      <c r="O46" s="10">
        <f t="shared" si="23"/>
        <v>0</v>
      </c>
      <c r="P46" s="10">
        <f t="shared" si="24"/>
        <v>0</v>
      </c>
      <c r="Q46" s="86">
        <v>1</v>
      </c>
      <c r="R46" s="88">
        <v>15188</v>
      </c>
      <c r="S46" s="10">
        <f t="shared" si="10"/>
        <v>0.14295408631772266</v>
      </c>
      <c r="T46" s="10">
        <f t="shared" si="11"/>
        <v>3.5110918273645546</v>
      </c>
      <c r="U46" s="10">
        <f t="shared" si="12"/>
        <v>61.295922865013779</v>
      </c>
      <c r="V46" s="10">
        <f t="shared" si="25"/>
        <v>4.2886225895316793E-3</v>
      </c>
      <c r="W46" s="10">
        <f t="shared" si="26"/>
        <v>0.21066550964187328</v>
      </c>
    </row>
    <row r="47" spans="1:23">
      <c r="A47" s="83" t="s">
        <v>40</v>
      </c>
      <c r="B47" s="9">
        <v>0.4</v>
      </c>
      <c r="C47" s="86">
        <v>1</v>
      </c>
      <c r="D47" s="88">
        <v>1524</v>
      </c>
      <c r="E47" s="10">
        <f t="shared" si="15"/>
        <v>5.6677685950413226E-2</v>
      </c>
      <c r="F47" s="10">
        <f t="shared" si="16"/>
        <v>0.58986776859504131</v>
      </c>
      <c r="G47" s="10">
        <f t="shared" si="17"/>
        <v>40.980066115702478</v>
      </c>
      <c r="H47" s="10">
        <f t="shared" si="18"/>
        <v>2.9472396694214878E-2</v>
      </c>
      <c r="I47" s="10">
        <f t="shared" si="19"/>
        <v>0.26544049586776858</v>
      </c>
      <c r="J47" s="80"/>
      <c r="K47" s="82"/>
      <c r="L47" s="10">
        <f t="shared" si="20"/>
        <v>0</v>
      </c>
      <c r="M47" s="10">
        <f t="shared" si="21"/>
        <v>0</v>
      </c>
      <c r="N47" s="10">
        <f t="shared" si="22"/>
        <v>0</v>
      </c>
      <c r="O47" s="10">
        <f t="shared" si="23"/>
        <v>0</v>
      </c>
      <c r="P47" s="10">
        <f t="shared" si="24"/>
        <v>0</v>
      </c>
      <c r="Q47" s="86">
        <v>1</v>
      </c>
      <c r="R47" s="88">
        <v>20686</v>
      </c>
      <c r="S47" s="10">
        <f t="shared" si="10"/>
        <v>0.19470293847566575</v>
      </c>
      <c r="T47" s="10">
        <f t="shared" si="11"/>
        <v>4.7820941230486689</v>
      </c>
      <c r="U47" s="10">
        <f t="shared" si="12"/>
        <v>83.484820936639125</v>
      </c>
      <c r="V47" s="10">
        <f t="shared" si="25"/>
        <v>5.8410881542699722E-3</v>
      </c>
      <c r="W47" s="10">
        <f t="shared" si="26"/>
        <v>0.28692564738292015</v>
      </c>
    </row>
    <row r="48" spans="1:23">
      <c r="A48" s="83" t="s">
        <v>66</v>
      </c>
      <c r="B48" s="9">
        <v>0.5</v>
      </c>
      <c r="C48" s="86">
        <v>1</v>
      </c>
      <c r="D48" s="87">
        <v>3100</v>
      </c>
      <c r="E48" s="10">
        <f t="shared" si="15"/>
        <v>0.11528925619834712</v>
      </c>
      <c r="F48" s="10">
        <f t="shared" si="16"/>
        <v>1.1998622589531682</v>
      </c>
      <c r="G48" s="10">
        <f t="shared" si="17"/>
        <v>83.358402203856755</v>
      </c>
      <c r="H48" s="10">
        <f t="shared" si="18"/>
        <v>5.9950413223140507E-2</v>
      </c>
      <c r="I48" s="10">
        <f t="shared" si="19"/>
        <v>0.5399380165289257</v>
      </c>
      <c r="J48" s="80"/>
      <c r="K48" s="81"/>
      <c r="L48" s="10">
        <f t="shared" si="20"/>
        <v>0</v>
      </c>
      <c r="M48" s="10">
        <f t="shared" si="21"/>
        <v>0</v>
      </c>
      <c r="N48" s="10">
        <f t="shared" si="22"/>
        <v>0</v>
      </c>
      <c r="O48" s="10">
        <f t="shared" si="23"/>
        <v>0</v>
      </c>
      <c r="P48" s="10">
        <f t="shared" si="24"/>
        <v>0</v>
      </c>
      <c r="Q48" s="86">
        <v>1</v>
      </c>
      <c r="R48" s="87">
        <v>10000</v>
      </c>
      <c r="S48" s="10">
        <f t="shared" si="10"/>
        <v>9.4123048668503212E-2</v>
      </c>
      <c r="T48" s="10">
        <f t="shared" si="11"/>
        <v>2.3117539026629936</v>
      </c>
      <c r="U48" s="10">
        <f t="shared" si="12"/>
        <v>40.358126721763085</v>
      </c>
      <c r="V48" s="10">
        <f t="shared" si="25"/>
        <v>2.8236914600550962E-3</v>
      </c>
      <c r="W48" s="10">
        <f t="shared" si="26"/>
        <v>0.13870523415977962</v>
      </c>
    </row>
    <row r="49" spans="1:23">
      <c r="A49" s="83" t="s">
        <v>122</v>
      </c>
      <c r="B49" s="9">
        <v>0.5</v>
      </c>
      <c r="C49" s="86"/>
      <c r="D49" s="87"/>
      <c r="E49" s="10">
        <f t="shared" si="15"/>
        <v>0</v>
      </c>
      <c r="F49" s="10">
        <f t="shared" si="16"/>
        <v>0</v>
      </c>
      <c r="G49" s="10">
        <f t="shared" si="17"/>
        <v>0</v>
      </c>
      <c r="H49" s="10">
        <f t="shared" si="18"/>
        <v>0</v>
      </c>
      <c r="I49" s="10">
        <f t="shared" si="19"/>
        <v>0</v>
      </c>
      <c r="J49" s="80">
        <v>1</v>
      </c>
      <c r="K49" s="81">
        <v>700</v>
      </c>
      <c r="L49" s="10">
        <f t="shared" si="20"/>
        <v>2.6033057851239674E-2</v>
      </c>
      <c r="M49" s="10">
        <f t="shared" si="21"/>
        <v>0.27093663911845733</v>
      </c>
      <c r="N49" s="10">
        <f t="shared" si="22"/>
        <v>18.822865013774106</v>
      </c>
      <c r="O49" s="10">
        <f t="shared" si="23"/>
        <v>8.5909090909090935E-3</v>
      </c>
      <c r="P49" s="10">
        <f t="shared" si="24"/>
        <v>7.586225895316806E-2</v>
      </c>
      <c r="Q49" s="86">
        <v>1</v>
      </c>
      <c r="R49" s="87">
        <v>3330</v>
      </c>
      <c r="S49" s="10">
        <f t="shared" si="10"/>
        <v>3.1342975206611563E-2</v>
      </c>
      <c r="T49" s="10">
        <f t="shared" si="11"/>
        <v>0.76981404958677679</v>
      </c>
      <c r="U49" s="10">
        <f t="shared" si="12"/>
        <v>13.439256198347108</v>
      </c>
      <c r="V49" s="10">
        <f t="shared" si="25"/>
        <v>9.402892561983469E-4</v>
      </c>
      <c r="W49" s="10">
        <f t="shared" si="26"/>
        <v>4.6188842975206604E-2</v>
      </c>
    </row>
    <row r="50" spans="1:23">
      <c r="A50" s="83" t="s">
        <v>138</v>
      </c>
      <c r="B50" s="9">
        <v>0.2</v>
      </c>
      <c r="C50" s="86"/>
      <c r="D50" s="87"/>
      <c r="E50" s="10">
        <f t="shared" si="15"/>
        <v>0</v>
      </c>
      <c r="F50" s="10">
        <f t="shared" si="16"/>
        <v>0</v>
      </c>
      <c r="G50" s="10">
        <f t="shared" si="17"/>
        <v>0</v>
      </c>
      <c r="H50" s="10">
        <f t="shared" si="18"/>
        <v>0</v>
      </c>
      <c r="I50" s="10">
        <f t="shared" si="19"/>
        <v>0</v>
      </c>
      <c r="J50" s="80"/>
      <c r="K50" s="81"/>
      <c r="L50" s="10">
        <f t="shared" si="20"/>
        <v>0</v>
      </c>
      <c r="M50" s="10">
        <f t="shared" si="21"/>
        <v>0</v>
      </c>
      <c r="N50" s="10">
        <f t="shared" si="22"/>
        <v>0</v>
      </c>
      <c r="O50" s="10">
        <f t="shared" si="23"/>
        <v>0</v>
      </c>
      <c r="P50" s="10">
        <f t="shared" si="24"/>
        <v>0</v>
      </c>
      <c r="Q50" s="86"/>
      <c r="R50" s="87"/>
      <c r="S50" s="10">
        <f t="shared" si="10"/>
        <v>0</v>
      </c>
      <c r="T50" s="10">
        <f t="shared" si="11"/>
        <v>0</v>
      </c>
      <c r="U50" s="10">
        <f t="shared" si="12"/>
        <v>0</v>
      </c>
      <c r="V50" s="10">
        <f t="shared" si="25"/>
        <v>0</v>
      </c>
      <c r="W50" s="10">
        <f t="shared" si="26"/>
        <v>0</v>
      </c>
    </row>
    <row r="51" spans="1:23">
      <c r="A51" s="83" t="s">
        <v>68</v>
      </c>
      <c r="B51" s="9">
        <v>0.5</v>
      </c>
      <c r="C51" s="86">
        <v>1</v>
      </c>
      <c r="D51" s="87">
        <v>1400</v>
      </c>
      <c r="E51" s="10">
        <f t="shared" si="15"/>
        <v>5.2066115702479349E-2</v>
      </c>
      <c r="F51" s="10">
        <f t="shared" si="16"/>
        <v>0.54187327823691467</v>
      </c>
      <c r="G51" s="10">
        <f t="shared" si="17"/>
        <v>37.645730027548211</v>
      </c>
      <c r="H51" s="10">
        <f t="shared" si="18"/>
        <v>2.7074380165289264E-2</v>
      </c>
      <c r="I51" s="10">
        <f t="shared" si="19"/>
        <v>0.24384297520661161</v>
      </c>
      <c r="J51" s="80">
        <v>1</v>
      </c>
      <c r="K51" s="81">
        <v>100</v>
      </c>
      <c r="L51" s="10">
        <f t="shared" si="20"/>
        <v>3.7190082644628099E-3</v>
      </c>
      <c r="M51" s="10">
        <f t="shared" si="21"/>
        <v>3.8705234159779611E-2</v>
      </c>
      <c r="N51" s="10">
        <f t="shared" si="22"/>
        <v>2.6889807162534431</v>
      </c>
      <c r="O51" s="10">
        <f t="shared" si="23"/>
        <v>1.2272727272727272E-3</v>
      </c>
      <c r="P51" s="10">
        <f t="shared" si="24"/>
        <v>1.0837465564738292E-2</v>
      </c>
      <c r="Q51" s="86">
        <v>1</v>
      </c>
      <c r="R51" s="87">
        <v>10000</v>
      </c>
      <c r="S51" s="10">
        <f t="shared" si="10"/>
        <v>9.4123048668503212E-2</v>
      </c>
      <c r="T51" s="10">
        <f t="shared" si="11"/>
        <v>2.3117539026629936</v>
      </c>
      <c r="U51" s="10">
        <f t="shared" si="12"/>
        <v>40.358126721763085</v>
      </c>
      <c r="V51" s="10">
        <f t="shared" si="25"/>
        <v>2.8236914600550962E-3</v>
      </c>
      <c r="W51" s="10">
        <f t="shared" si="26"/>
        <v>0.13870523415977962</v>
      </c>
    </row>
    <row r="52" spans="1:23">
      <c r="A52" s="83" t="s">
        <v>89</v>
      </c>
      <c r="B52" s="9">
        <v>0.5</v>
      </c>
      <c r="C52" s="86">
        <v>1</v>
      </c>
      <c r="D52" s="87">
        <v>920</v>
      </c>
      <c r="E52" s="10">
        <f t="shared" si="15"/>
        <v>3.4214876033057853E-2</v>
      </c>
      <c r="F52" s="10">
        <f t="shared" si="16"/>
        <v>0.35608815426997242</v>
      </c>
      <c r="G52" s="10">
        <f t="shared" si="17"/>
        <v>24.73862258953168</v>
      </c>
      <c r="H52" s="10">
        <f t="shared" si="18"/>
        <v>1.7791735537190084E-2</v>
      </c>
      <c r="I52" s="10">
        <f t="shared" si="19"/>
        <v>0.1602396694214876</v>
      </c>
      <c r="J52" s="80">
        <v>1</v>
      </c>
      <c r="K52" s="81">
        <v>500</v>
      </c>
      <c r="L52" s="10">
        <f t="shared" si="20"/>
        <v>1.859504132231405E-2</v>
      </c>
      <c r="M52" s="10">
        <f t="shared" si="21"/>
        <v>0.19352617079889806</v>
      </c>
      <c r="N52" s="10">
        <f t="shared" si="22"/>
        <v>13.444903581267216</v>
      </c>
      <c r="O52" s="10">
        <f t="shared" si="23"/>
        <v>6.1363636363636368E-3</v>
      </c>
      <c r="P52" s="10">
        <f t="shared" si="24"/>
        <v>5.4187327823691463E-2</v>
      </c>
      <c r="Q52" s="86">
        <v>1</v>
      </c>
      <c r="R52" s="87">
        <v>4500</v>
      </c>
      <c r="S52" s="10">
        <f t="shared" si="10"/>
        <v>4.2355371900826444E-2</v>
      </c>
      <c r="T52" s="10">
        <f t="shared" si="11"/>
        <v>1.0402892561983472</v>
      </c>
      <c r="U52" s="10">
        <f t="shared" si="12"/>
        <v>18.16115702479339</v>
      </c>
      <c r="V52" s="10">
        <f t="shared" si="25"/>
        <v>1.2706611570247933E-3</v>
      </c>
      <c r="W52" s="10">
        <f t="shared" si="26"/>
        <v>6.241735537190083E-2</v>
      </c>
    </row>
    <row r="53" spans="1:23">
      <c r="A53" s="83" t="s">
        <v>56</v>
      </c>
      <c r="B53" s="9">
        <v>0.4</v>
      </c>
      <c r="C53" s="86">
        <v>1</v>
      </c>
      <c r="D53" s="87">
        <v>1727</v>
      </c>
      <c r="E53" s="10">
        <f t="shared" si="15"/>
        <v>6.422727272727273E-2</v>
      </c>
      <c r="F53" s="10">
        <f t="shared" si="16"/>
        <v>0.66843939393939389</v>
      </c>
      <c r="G53" s="10">
        <f t="shared" si="17"/>
        <v>46.438696969696963</v>
      </c>
      <c r="H53" s="10">
        <f t="shared" si="18"/>
        <v>3.339818181818182E-2</v>
      </c>
      <c r="I53" s="10">
        <f t="shared" si="19"/>
        <v>0.30079772727272724</v>
      </c>
      <c r="J53" s="80"/>
      <c r="K53" s="81"/>
      <c r="L53" s="10">
        <f t="shared" si="20"/>
        <v>0</v>
      </c>
      <c r="M53" s="10">
        <f t="shared" si="21"/>
        <v>0</v>
      </c>
      <c r="N53" s="10">
        <f t="shared" si="22"/>
        <v>0</v>
      </c>
      <c r="O53" s="10">
        <f t="shared" si="23"/>
        <v>0</v>
      </c>
      <c r="P53" s="10">
        <f t="shared" si="24"/>
        <v>0</v>
      </c>
      <c r="Q53" s="86">
        <v>1</v>
      </c>
      <c r="R53" s="87">
        <v>6100</v>
      </c>
      <c r="S53" s="10">
        <f t="shared" si="10"/>
        <v>5.7415059687786964E-2</v>
      </c>
      <c r="T53" s="10">
        <f t="shared" si="11"/>
        <v>1.4101698806244263</v>
      </c>
      <c r="U53" s="10">
        <f t="shared" si="12"/>
        <v>24.618457300275484</v>
      </c>
      <c r="V53" s="10">
        <f t="shared" si="25"/>
        <v>1.7224517906336088E-3</v>
      </c>
      <c r="W53" s="10">
        <f t="shared" si="26"/>
        <v>8.461019283746557E-2</v>
      </c>
    </row>
    <row r="54" spans="1:23">
      <c r="A54" s="83" t="s">
        <v>108</v>
      </c>
      <c r="B54" s="9">
        <v>0.5</v>
      </c>
      <c r="C54" s="86"/>
      <c r="D54" s="87"/>
      <c r="E54" s="10">
        <f t="shared" si="15"/>
        <v>0</v>
      </c>
      <c r="F54" s="10">
        <f t="shared" si="16"/>
        <v>0</v>
      </c>
      <c r="G54" s="10">
        <f t="shared" si="17"/>
        <v>0</v>
      </c>
      <c r="H54" s="10">
        <f t="shared" si="18"/>
        <v>0</v>
      </c>
      <c r="I54" s="10">
        <f t="shared" si="19"/>
        <v>0</v>
      </c>
      <c r="J54" s="80">
        <v>1</v>
      </c>
      <c r="K54" s="81">
        <v>350</v>
      </c>
      <c r="L54" s="10">
        <f t="shared" si="20"/>
        <v>1.3016528925619837E-2</v>
      </c>
      <c r="M54" s="10">
        <f t="shared" si="21"/>
        <v>0.13546831955922867</v>
      </c>
      <c r="N54" s="10">
        <f t="shared" si="22"/>
        <v>9.4114325068870528</v>
      </c>
      <c r="O54" s="10">
        <f t="shared" si="23"/>
        <v>4.2954545454545467E-3</v>
      </c>
      <c r="P54" s="10">
        <f t="shared" si="24"/>
        <v>3.793112947658403E-2</v>
      </c>
      <c r="Q54" s="86">
        <v>1</v>
      </c>
      <c r="R54" s="87">
        <v>1000</v>
      </c>
      <c r="S54" s="10">
        <f t="shared" si="10"/>
        <v>9.4123048668503205E-3</v>
      </c>
      <c r="T54" s="10">
        <f t="shared" si="11"/>
        <v>0.23117539026629935</v>
      </c>
      <c r="U54" s="10">
        <f t="shared" si="12"/>
        <v>4.0358126721763083</v>
      </c>
      <c r="V54" s="10">
        <f t="shared" si="25"/>
        <v>2.8236914600550958E-4</v>
      </c>
      <c r="W54" s="10">
        <f t="shared" si="26"/>
        <v>1.3870523415977961E-2</v>
      </c>
    </row>
    <row r="55" spans="1:23">
      <c r="A55" s="83" t="s">
        <v>114</v>
      </c>
      <c r="B55" s="9">
        <v>0.4</v>
      </c>
      <c r="C55" s="86">
        <v>1</v>
      </c>
      <c r="D55" s="87">
        <v>1271</v>
      </c>
      <c r="E55" s="10">
        <f t="shared" si="15"/>
        <v>4.7268595041322317E-2</v>
      </c>
      <c r="F55" s="10">
        <f t="shared" si="16"/>
        <v>0.49194352617079884</v>
      </c>
      <c r="G55" s="10">
        <f t="shared" si="17"/>
        <v>34.176944903581266</v>
      </c>
      <c r="H55" s="10">
        <f t="shared" si="18"/>
        <v>2.4579669421487607E-2</v>
      </c>
      <c r="I55" s="10">
        <f t="shared" si="19"/>
        <v>0.22137458677685948</v>
      </c>
      <c r="J55" s="80"/>
      <c r="K55" s="81"/>
      <c r="L55" s="10">
        <f t="shared" si="20"/>
        <v>0</v>
      </c>
      <c r="M55" s="10">
        <f t="shared" si="21"/>
        <v>0</v>
      </c>
      <c r="N55" s="10">
        <f t="shared" si="22"/>
        <v>0</v>
      </c>
      <c r="O55" s="10">
        <f t="shared" si="23"/>
        <v>0</v>
      </c>
      <c r="P55" s="10">
        <f t="shared" si="24"/>
        <v>0</v>
      </c>
      <c r="Q55" s="86">
        <v>1</v>
      </c>
      <c r="R55" s="87">
        <v>3464</v>
      </c>
      <c r="S55" s="10">
        <f t="shared" si="10"/>
        <v>3.2604224058769511E-2</v>
      </c>
      <c r="T55" s="10">
        <f t="shared" si="11"/>
        <v>0.80079155188246098</v>
      </c>
      <c r="U55" s="10">
        <f t="shared" si="12"/>
        <v>13.980055096418733</v>
      </c>
      <c r="V55" s="10">
        <f t="shared" si="25"/>
        <v>9.7812672176308523E-4</v>
      </c>
      <c r="W55" s="10">
        <f t="shared" si="26"/>
        <v>4.8047493112947655E-2</v>
      </c>
    </row>
    <row r="56" spans="1:23">
      <c r="A56" s="83" t="s">
        <v>132</v>
      </c>
      <c r="B56" s="9">
        <v>0.2</v>
      </c>
      <c r="C56" s="86"/>
      <c r="D56" s="87"/>
      <c r="E56" s="10">
        <f t="shared" si="15"/>
        <v>0</v>
      </c>
      <c r="F56" s="10">
        <f t="shared" si="16"/>
        <v>0</v>
      </c>
      <c r="G56" s="10">
        <f t="shared" si="17"/>
        <v>0</v>
      </c>
      <c r="H56" s="10">
        <f t="shared" si="18"/>
        <v>0</v>
      </c>
      <c r="I56" s="10">
        <f t="shared" si="19"/>
        <v>0</v>
      </c>
      <c r="J56" s="80"/>
      <c r="K56" s="81"/>
      <c r="L56" s="10">
        <f t="shared" si="20"/>
        <v>0</v>
      </c>
      <c r="M56" s="10">
        <f t="shared" si="21"/>
        <v>0</v>
      </c>
      <c r="N56" s="10">
        <f t="shared" si="22"/>
        <v>0</v>
      </c>
      <c r="O56" s="10">
        <f t="shared" si="23"/>
        <v>0</v>
      </c>
      <c r="P56" s="10">
        <f t="shared" si="24"/>
        <v>0</v>
      </c>
      <c r="Q56" s="86">
        <v>1</v>
      </c>
      <c r="R56" s="87">
        <v>1634</v>
      </c>
      <c r="S56" s="10">
        <f t="shared" si="10"/>
        <v>1.5379706152433425E-2</v>
      </c>
      <c r="T56" s="10">
        <f t="shared" si="11"/>
        <v>0.37774058769513319</v>
      </c>
      <c r="U56" s="10">
        <f t="shared" si="12"/>
        <v>6.5945179063360886</v>
      </c>
      <c r="V56" s="10">
        <f t="shared" si="25"/>
        <v>4.6139118457300273E-4</v>
      </c>
      <c r="W56" s="10">
        <f t="shared" si="26"/>
        <v>2.2664435261707992E-2</v>
      </c>
    </row>
    <row r="57" spans="1:23">
      <c r="A57" s="83" t="s">
        <v>70</v>
      </c>
      <c r="B57" s="9">
        <v>0.2</v>
      </c>
      <c r="C57" s="86"/>
      <c r="D57" s="87"/>
      <c r="E57" s="10">
        <f t="shared" si="15"/>
        <v>0</v>
      </c>
      <c r="F57" s="10">
        <f t="shared" si="16"/>
        <v>0</v>
      </c>
      <c r="G57" s="10">
        <f t="shared" si="17"/>
        <v>0</v>
      </c>
      <c r="H57" s="10">
        <f t="shared" si="18"/>
        <v>0</v>
      </c>
      <c r="I57" s="10">
        <f t="shared" si="19"/>
        <v>0</v>
      </c>
      <c r="J57" s="80"/>
      <c r="K57" s="81"/>
      <c r="L57" s="10">
        <f t="shared" si="20"/>
        <v>0</v>
      </c>
      <c r="M57" s="10">
        <f t="shared" si="21"/>
        <v>0</v>
      </c>
      <c r="N57" s="10">
        <f t="shared" si="22"/>
        <v>0</v>
      </c>
      <c r="O57" s="10">
        <f t="shared" si="23"/>
        <v>0</v>
      </c>
      <c r="P57" s="10">
        <f t="shared" si="24"/>
        <v>0</v>
      </c>
      <c r="Q57" s="86">
        <v>1</v>
      </c>
      <c r="R57" s="87">
        <v>5852</v>
      </c>
      <c r="S57" s="10">
        <f t="shared" si="10"/>
        <v>5.5080808080808077E-2</v>
      </c>
      <c r="T57" s="10">
        <f t="shared" si="11"/>
        <v>1.352838383838384</v>
      </c>
      <c r="U57" s="10">
        <f t="shared" si="12"/>
        <v>23.617575757575761</v>
      </c>
      <c r="V57" s="10">
        <f t="shared" si="25"/>
        <v>1.6524242424242423E-3</v>
      </c>
      <c r="W57" s="10">
        <f t="shared" si="26"/>
        <v>8.1170303030303037E-2</v>
      </c>
    </row>
    <row r="58" spans="1:23">
      <c r="A58" s="83" t="s">
        <v>74</v>
      </c>
      <c r="B58" s="9">
        <v>0.5</v>
      </c>
      <c r="C58" s="86"/>
      <c r="D58" s="87"/>
      <c r="E58" s="10">
        <f t="shared" si="15"/>
        <v>0</v>
      </c>
      <c r="F58" s="10">
        <f t="shared" si="16"/>
        <v>0</v>
      </c>
      <c r="G58" s="10">
        <f t="shared" si="17"/>
        <v>0</v>
      </c>
      <c r="H58" s="10">
        <f t="shared" si="18"/>
        <v>0</v>
      </c>
      <c r="I58" s="10">
        <f t="shared" si="19"/>
        <v>0</v>
      </c>
      <c r="J58" s="80"/>
      <c r="K58" s="81"/>
      <c r="L58" s="10">
        <f t="shared" si="20"/>
        <v>0</v>
      </c>
      <c r="M58" s="10">
        <f t="shared" si="21"/>
        <v>0</v>
      </c>
      <c r="N58" s="10">
        <f t="shared" si="22"/>
        <v>0</v>
      </c>
      <c r="O58" s="10">
        <f t="shared" si="23"/>
        <v>0</v>
      </c>
      <c r="P58" s="10">
        <f t="shared" si="24"/>
        <v>0</v>
      </c>
      <c r="Q58" s="86"/>
      <c r="R58" s="87"/>
      <c r="S58" s="10">
        <f t="shared" si="10"/>
        <v>0</v>
      </c>
      <c r="T58" s="10">
        <f t="shared" si="11"/>
        <v>0</v>
      </c>
      <c r="U58" s="10">
        <f t="shared" si="12"/>
        <v>0</v>
      </c>
      <c r="V58" s="10">
        <f t="shared" si="25"/>
        <v>0</v>
      </c>
      <c r="W58" s="10">
        <f t="shared" si="26"/>
        <v>0</v>
      </c>
    </row>
    <row r="59" spans="1:23">
      <c r="A59" s="83" t="s">
        <v>134</v>
      </c>
      <c r="B59" s="9">
        <v>0.3</v>
      </c>
      <c r="C59" s="86">
        <v>1</v>
      </c>
      <c r="D59" s="87">
        <v>6250</v>
      </c>
      <c r="E59" s="10">
        <f t="shared" si="15"/>
        <v>0.23243801652892562</v>
      </c>
      <c r="F59" s="10">
        <f t="shared" si="16"/>
        <v>2.4190771349862255</v>
      </c>
      <c r="G59" s="10">
        <f t="shared" si="17"/>
        <v>168.06129476584019</v>
      </c>
      <c r="H59" s="10">
        <f t="shared" si="18"/>
        <v>0.12086776859504132</v>
      </c>
      <c r="I59" s="10">
        <f t="shared" si="19"/>
        <v>1.0885847107438016</v>
      </c>
      <c r="J59" s="80"/>
      <c r="K59" s="81"/>
      <c r="L59" s="10">
        <f t="shared" si="20"/>
        <v>0</v>
      </c>
      <c r="M59" s="10">
        <f t="shared" si="21"/>
        <v>0</v>
      </c>
      <c r="N59" s="10">
        <f t="shared" si="22"/>
        <v>0</v>
      </c>
      <c r="O59" s="10">
        <f t="shared" si="23"/>
        <v>0</v>
      </c>
      <c r="P59" s="10">
        <f t="shared" si="24"/>
        <v>0</v>
      </c>
      <c r="Q59" s="86">
        <v>1</v>
      </c>
      <c r="R59" s="87">
        <v>9500</v>
      </c>
      <c r="S59" s="10">
        <f t="shared" si="10"/>
        <v>8.941689623507805E-2</v>
      </c>
      <c r="T59" s="10">
        <f t="shared" si="11"/>
        <v>2.1961662075298438</v>
      </c>
      <c r="U59" s="10">
        <f t="shared" si="12"/>
        <v>38.340220385674932</v>
      </c>
      <c r="V59" s="10">
        <f t="shared" si="25"/>
        <v>2.6825068870523416E-3</v>
      </c>
      <c r="W59" s="10">
        <f t="shared" si="26"/>
        <v>0.13176997245179062</v>
      </c>
    </row>
    <row r="60" spans="1:23">
      <c r="A60" s="83" t="s">
        <v>69</v>
      </c>
      <c r="B60" s="9">
        <v>0.1</v>
      </c>
      <c r="C60" s="86"/>
      <c r="D60" s="87"/>
      <c r="E60" s="10">
        <f t="shared" si="15"/>
        <v>0</v>
      </c>
      <c r="F60" s="10">
        <f t="shared" si="16"/>
        <v>0</v>
      </c>
      <c r="G60" s="10">
        <f t="shared" si="17"/>
        <v>0</v>
      </c>
      <c r="H60" s="10">
        <f t="shared" si="18"/>
        <v>0</v>
      </c>
      <c r="I60" s="10">
        <f t="shared" si="19"/>
        <v>0</v>
      </c>
      <c r="J60" s="80"/>
      <c r="K60" s="81"/>
      <c r="L60" s="10">
        <f t="shared" si="20"/>
        <v>0</v>
      </c>
      <c r="M60" s="10">
        <f t="shared" si="21"/>
        <v>0</v>
      </c>
      <c r="N60" s="10">
        <f t="shared" si="22"/>
        <v>0</v>
      </c>
      <c r="O60" s="10">
        <f t="shared" si="23"/>
        <v>0</v>
      </c>
      <c r="P60" s="10">
        <f t="shared" si="24"/>
        <v>0</v>
      </c>
      <c r="Q60" s="86">
        <v>1</v>
      </c>
      <c r="R60" s="87">
        <v>7000</v>
      </c>
      <c r="S60" s="10">
        <f t="shared" si="10"/>
        <v>6.588613406795224E-2</v>
      </c>
      <c r="T60" s="10">
        <f t="shared" si="11"/>
        <v>1.6182277318640954</v>
      </c>
      <c r="U60" s="10">
        <f t="shared" si="12"/>
        <v>28.250688705234161</v>
      </c>
      <c r="V60" s="10">
        <f t="shared" si="25"/>
        <v>1.9765840220385671E-3</v>
      </c>
      <c r="W60" s="10">
        <f t="shared" si="26"/>
        <v>9.7093663911845721E-2</v>
      </c>
    </row>
    <row r="61" spans="1:23">
      <c r="A61" s="83" t="s">
        <v>60</v>
      </c>
      <c r="B61" s="9">
        <v>0.4</v>
      </c>
      <c r="C61" s="86">
        <v>1</v>
      </c>
      <c r="D61" s="87">
        <v>340</v>
      </c>
      <c r="E61" s="10">
        <f t="shared" si="15"/>
        <v>1.2644628099173555E-2</v>
      </c>
      <c r="F61" s="10">
        <f t="shared" si="16"/>
        <v>0.13159779614325068</v>
      </c>
      <c r="G61" s="10">
        <f t="shared" si="17"/>
        <v>9.1425344352617071</v>
      </c>
      <c r="H61" s="10">
        <f t="shared" si="18"/>
        <v>6.5752066115702485E-3</v>
      </c>
      <c r="I61" s="10">
        <f t="shared" si="19"/>
        <v>5.9219008264462809E-2</v>
      </c>
      <c r="J61" s="80"/>
      <c r="K61" s="81"/>
      <c r="L61" s="10">
        <f t="shared" si="20"/>
        <v>0</v>
      </c>
      <c r="M61" s="10">
        <f t="shared" si="21"/>
        <v>0</v>
      </c>
      <c r="N61" s="10">
        <f t="shared" si="22"/>
        <v>0</v>
      </c>
      <c r="O61" s="10">
        <f t="shared" si="23"/>
        <v>0</v>
      </c>
      <c r="P61" s="10">
        <f t="shared" si="24"/>
        <v>0</v>
      </c>
      <c r="Q61" s="86">
        <v>1</v>
      </c>
      <c r="R61" s="87">
        <v>1200</v>
      </c>
      <c r="S61" s="10">
        <f t="shared" si="10"/>
        <v>1.1294765840220385E-2</v>
      </c>
      <c r="T61" s="10">
        <f t="shared" si="11"/>
        <v>0.27741046831955923</v>
      </c>
      <c r="U61" s="10">
        <f t="shared" si="12"/>
        <v>4.8429752066115705</v>
      </c>
      <c r="V61" s="10">
        <f t="shared" si="25"/>
        <v>3.3884297520661154E-4</v>
      </c>
      <c r="W61" s="10">
        <f t="shared" si="26"/>
        <v>1.6644628099173553E-2</v>
      </c>
    </row>
    <row r="62" spans="1:23">
      <c r="A62" s="83" t="s">
        <v>95</v>
      </c>
      <c r="B62" s="9">
        <v>0.4</v>
      </c>
      <c r="C62" s="86">
        <v>1</v>
      </c>
      <c r="D62" s="87">
        <v>356</v>
      </c>
      <c r="E62" s="10">
        <f t="shared" si="15"/>
        <v>1.3239669421487604E-2</v>
      </c>
      <c r="F62" s="10">
        <f t="shared" si="16"/>
        <v>0.13779063360881541</v>
      </c>
      <c r="G62" s="10">
        <f t="shared" si="17"/>
        <v>9.5727713498622578</v>
      </c>
      <c r="H62" s="10">
        <f t="shared" si="18"/>
        <v>6.8846280991735542E-3</v>
      </c>
      <c r="I62" s="10">
        <f t="shared" si="19"/>
        <v>6.2005785123966935E-2</v>
      </c>
      <c r="J62" s="80"/>
      <c r="K62" s="81"/>
      <c r="L62" s="10">
        <f t="shared" si="20"/>
        <v>0</v>
      </c>
      <c r="M62" s="10">
        <f t="shared" si="21"/>
        <v>0</v>
      </c>
      <c r="N62" s="10">
        <f t="shared" si="22"/>
        <v>0</v>
      </c>
      <c r="O62" s="10">
        <f t="shared" si="23"/>
        <v>0</v>
      </c>
      <c r="P62" s="10">
        <f t="shared" si="24"/>
        <v>0</v>
      </c>
      <c r="Q62" s="86">
        <v>1</v>
      </c>
      <c r="R62" s="87">
        <v>700</v>
      </c>
      <c r="S62" s="10">
        <f t="shared" si="10"/>
        <v>6.5886134067952252E-3</v>
      </c>
      <c r="T62" s="10">
        <f t="shared" si="11"/>
        <v>0.16182277318640956</v>
      </c>
      <c r="U62" s="10">
        <f t="shared" si="12"/>
        <v>2.8250688705234164</v>
      </c>
      <c r="V62" s="10">
        <f t="shared" si="25"/>
        <v>1.9765840220385675E-4</v>
      </c>
      <c r="W62" s="10">
        <f t="shared" si="26"/>
        <v>9.7093663911845731E-3</v>
      </c>
    </row>
    <row r="63" spans="1:23">
      <c r="A63" s="83" t="s">
        <v>97</v>
      </c>
      <c r="B63" s="9">
        <v>0.3</v>
      </c>
      <c r="C63" s="86"/>
      <c r="D63" s="87"/>
      <c r="E63" s="10">
        <f t="shared" si="15"/>
        <v>0</v>
      </c>
      <c r="F63" s="10">
        <f t="shared" si="16"/>
        <v>0</v>
      </c>
      <c r="G63" s="10">
        <f t="shared" si="17"/>
        <v>0</v>
      </c>
      <c r="H63" s="10">
        <f t="shared" si="18"/>
        <v>0</v>
      </c>
      <c r="I63" s="10">
        <f t="shared" si="19"/>
        <v>0</v>
      </c>
      <c r="J63" s="80"/>
      <c r="K63" s="81"/>
      <c r="L63" s="10">
        <f t="shared" si="20"/>
        <v>0</v>
      </c>
      <c r="M63" s="10">
        <f t="shared" si="21"/>
        <v>0</v>
      </c>
      <c r="N63" s="10">
        <f t="shared" si="22"/>
        <v>0</v>
      </c>
      <c r="O63" s="10">
        <f t="shared" si="23"/>
        <v>0</v>
      </c>
      <c r="P63" s="10">
        <f t="shared" si="24"/>
        <v>0</v>
      </c>
      <c r="Q63" s="86"/>
      <c r="R63" s="87"/>
      <c r="S63" s="10">
        <f t="shared" si="10"/>
        <v>0</v>
      </c>
      <c r="T63" s="10">
        <f t="shared" si="11"/>
        <v>0</v>
      </c>
      <c r="U63" s="10">
        <f t="shared" si="12"/>
        <v>0</v>
      </c>
      <c r="V63" s="10">
        <f t="shared" si="25"/>
        <v>0</v>
      </c>
      <c r="W63" s="10">
        <f t="shared" si="26"/>
        <v>0</v>
      </c>
    </row>
    <row r="64" spans="1:23">
      <c r="A64" s="83" t="s">
        <v>6</v>
      </c>
      <c r="B64" s="9">
        <v>0.4</v>
      </c>
      <c r="C64" s="86">
        <v>1</v>
      </c>
      <c r="D64" s="88">
        <v>2591</v>
      </c>
      <c r="E64" s="10">
        <f t="shared" si="15"/>
        <v>9.6359504132231419E-2</v>
      </c>
      <c r="F64" s="10">
        <f t="shared" si="16"/>
        <v>1.0028526170798899</v>
      </c>
      <c r="G64" s="10">
        <f t="shared" si="17"/>
        <v>69.671490358126718</v>
      </c>
      <c r="H64" s="10">
        <f t="shared" si="18"/>
        <v>5.0106942148760339E-2</v>
      </c>
      <c r="I64" s="10">
        <f t="shared" si="19"/>
        <v>0.45128367768595046</v>
      </c>
      <c r="J64" s="80"/>
      <c r="K64" s="82"/>
      <c r="L64" s="10">
        <f t="shared" si="20"/>
        <v>0</v>
      </c>
      <c r="M64" s="10">
        <f t="shared" si="21"/>
        <v>0</v>
      </c>
      <c r="N64" s="10">
        <f t="shared" si="22"/>
        <v>0</v>
      </c>
      <c r="O64" s="10">
        <f t="shared" si="23"/>
        <v>0</v>
      </c>
      <c r="P64" s="10">
        <f t="shared" si="24"/>
        <v>0</v>
      </c>
      <c r="Q64" s="86">
        <v>1</v>
      </c>
      <c r="R64" s="88">
        <v>10061</v>
      </c>
      <c r="S64" s="10">
        <f t="shared" si="10"/>
        <v>9.4697199265381074E-2</v>
      </c>
      <c r="T64" s="10">
        <f t="shared" si="11"/>
        <v>2.3258556014692378</v>
      </c>
      <c r="U64" s="10">
        <f t="shared" si="12"/>
        <v>40.604311294765843</v>
      </c>
      <c r="V64" s="10">
        <f t="shared" si="25"/>
        <v>2.8409159779614322E-3</v>
      </c>
      <c r="W64" s="10">
        <f t="shared" si="26"/>
        <v>0.13955133608815426</v>
      </c>
    </row>
    <row r="65" spans="1:23">
      <c r="A65" s="83" t="s">
        <v>78</v>
      </c>
      <c r="B65" s="9">
        <v>0.4</v>
      </c>
      <c r="C65" s="86">
        <v>1</v>
      </c>
      <c r="D65" s="87">
        <v>850</v>
      </c>
      <c r="E65" s="10">
        <f t="shared" si="15"/>
        <v>3.1611570247933887E-2</v>
      </c>
      <c r="F65" s="10">
        <f t="shared" si="16"/>
        <v>0.32899449035812672</v>
      </c>
      <c r="G65" s="10">
        <f t="shared" si="17"/>
        <v>22.856336088154272</v>
      </c>
      <c r="H65" s="10">
        <f t="shared" si="18"/>
        <v>1.6438016528925622E-2</v>
      </c>
      <c r="I65" s="10">
        <f t="shared" si="19"/>
        <v>0.14804752066115703</v>
      </c>
      <c r="J65" s="80"/>
      <c r="K65" s="81"/>
      <c r="L65" s="10">
        <f t="shared" si="20"/>
        <v>0</v>
      </c>
      <c r="M65" s="10">
        <f t="shared" si="21"/>
        <v>0</v>
      </c>
      <c r="N65" s="10">
        <f t="shared" si="22"/>
        <v>0</v>
      </c>
      <c r="O65" s="10">
        <f t="shared" si="23"/>
        <v>0</v>
      </c>
      <c r="P65" s="10">
        <f t="shared" si="24"/>
        <v>0</v>
      </c>
      <c r="Q65" s="86">
        <v>1</v>
      </c>
      <c r="R65" s="87">
        <v>1800</v>
      </c>
      <c r="S65" s="10">
        <f t="shared" si="10"/>
        <v>1.6942148760330577E-2</v>
      </c>
      <c r="T65" s="10">
        <f t="shared" si="11"/>
        <v>0.41611570247933888</v>
      </c>
      <c r="U65" s="10">
        <f t="shared" si="12"/>
        <v>7.2644628099173563</v>
      </c>
      <c r="V65" s="10">
        <f t="shared" si="25"/>
        <v>5.0826446280991726E-4</v>
      </c>
      <c r="W65" s="10">
        <f t="shared" si="26"/>
        <v>2.4966942148760333E-2</v>
      </c>
    </row>
    <row r="66" spans="1:23">
      <c r="A66" s="83" t="s">
        <v>62</v>
      </c>
      <c r="B66" s="9">
        <v>0.4</v>
      </c>
      <c r="C66" s="86">
        <v>1</v>
      </c>
      <c r="D66" s="87">
        <v>1890</v>
      </c>
      <c r="E66" s="10">
        <f t="shared" ref="E66:E97" si="27">(D66/43560)*1.62</f>
        <v>7.0289256198347111E-2</v>
      </c>
      <c r="F66" s="10">
        <f t="shared" ref="F66:F97" si="28">(D66/43560)*16.86</f>
        <v>0.73152892561983474</v>
      </c>
      <c r="G66" s="10">
        <f t="shared" ref="G66:G97" si="29">(D66/43560)*1171.32</f>
        <v>50.821735537190079</v>
      </c>
      <c r="H66" s="10">
        <f t="shared" ref="H66:H97" si="30">E66*0.52</f>
        <v>3.6550413223140496E-2</v>
      </c>
      <c r="I66" s="10">
        <f t="shared" ref="I66:I97" si="31">F66*0.45</f>
        <v>0.32918801652892565</v>
      </c>
      <c r="J66" s="80"/>
      <c r="K66" s="81"/>
      <c r="L66" s="10">
        <f t="shared" ref="L66:L97" si="32">(K66/43560)*1.62</f>
        <v>0</v>
      </c>
      <c r="M66" s="10">
        <f t="shared" ref="M66:M97" si="33">(K66/43560)*16.86</f>
        <v>0</v>
      </c>
      <c r="N66" s="10">
        <f t="shared" ref="N66:N97" si="34">(K66/43560)*1171.32</f>
        <v>0</v>
      </c>
      <c r="O66" s="10">
        <f t="shared" ref="O66:O97" si="35">L66*0.33</f>
        <v>0</v>
      </c>
      <c r="P66" s="10">
        <f t="shared" ref="P66:P97" si="36">M66*0.28</f>
        <v>0</v>
      </c>
      <c r="Q66" s="86">
        <v>1</v>
      </c>
      <c r="R66" s="87">
        <v>6000</v>
      </c>
      <c r="S66" s="10">
        <f t="shared" ref="S66:S129" si="37">(R66/43560)*0.41</f>
        <v>5.647382920110193E-2</v>
      </c>
      <c r="T66" s="10">
        <f t="shared" ref="T66:T129" si="38">(R66/43560)*10.07</f>
        <v>1.3870523415977962</v>
      </c>
      <c r="U66" s="10">
        <f t="shared" ref="U66:U129" si="39">(R66/43560)*175.8</f>
        <v>24.214876033057852</v>
      </c>
      <c r="V66" s="10">
        <f t="shared" ref="V66:V97" si="40">S66*0.03</f>
        <v>1.6942148760330578E-3</v>
      </c>
      <c r="W66" s="10">
        <f t="shared" ref="W66:W97" si="41">T66*0.06</f>
        <v>8.3223140495867765E-2</v>
      </c>
    </row>
    <row r="67" spans="1:23">
      <c r="A67" s="83" t="s">
        <v>92</v>
      </c>
      <c r="B67" s="9">
        <v>0.3</v>
      </c>
      <c r="C67" s="86">
        <v>1</v>
      </c>
      <c r="D67" s="87">
        <v>770</v>
      </c>
      <c r="E67" s="10">
        <f t="shared" si="27"/>
        <v>2.8636363636363637E-2</v>
      </c>
      <c r="F67" s="10">
        <f t="shared" si="28"/>
        <v>0.29803030303030303</v>
      </c>
      <c r="G67" s="10">
        <f t="shared" si="29"/>
        <v>20.705151515151513</v>
      </c>
      <c r="H67" s="10">
        <f t="shared" si="30"/>
        <v>1.4890909090909092E-2</v>
      </c>
      <c r="I67" s="10">
        <f t="shared" si="31"/>
        <v>0.13411363636363638</v>
      </c>
      <c r="J67" s="80"/>
      <c r="K67" s="81"/>
      <c r="L67" s="10">
        <f t="shared" si="32"/>
        <v>0</v>
      </c>
      <c r="M67" s="10">
        <f t="shared" si="33"/>
        <v>0</v>
      </c>
      <c r="N67" s="10">
        <f t="shared" si="34"/>
        <v>0</v>
      </c>
      <c r="O67" s="10">
        <f t="shared" si="35"/>
        <v>0</v>
      </c>
      <c r="P67" s="10">
        <f t="shared" si="36"/>
        <v>0</v>
      </c>
      <c r="Q67" s="86">
        <v>1</v>
      </c>
      <c r="R67" s="87">
        <v>868</v>
      </c>
      <c r="S67" s="10">
        <f t="shared" si="37"/>
        <v>8.1698806244260777E-3</v>
      </c>
      <c r="T67" s="10">
        <f t="shared" si="38"/>
        <v>0.20066023875114786</v>
      </c>
      <c r="U67" s="10">
        <f t="shared" si="39"/>
        <v>3.5030853994490361</v>
      </c>
      <c r="V67" s="10">
        <f t="shared" si="40"/>
        <v>2.4509641873278232E-4</v>
      </c>
      <c r="W67" s="10">
        <f t="shared" si="41"/>
        <v>1.2039614325068872E-2</v>
      </c>
    </row>
    <row r="68" spans="1:23">
      <c r="A68" s="83" t="s">
        <v>55</v>
      </c>
      <c r="B68" s="9">
        <v>0.4</v>
      </c>
      <c r="C68" s="86">
        <v>1</v>
      </c>
      <c r="D68" s="87">
        <v>1820</v>
      </c>
      <c r="E68" s="10">
        <f t="shared" si="27"/>
        <v>6.7685950413223145E-2</v>
      </c>
      <c r="F68" s="10">
        <f t="shared" si="28"/>
        <v>0.70443526170798887</v>
      </c>
      <c r="G68" s="10">
        <f t="shared" si="29"/>
        <v>48.939449035812665</v>
      </c>
      <c r="H68" s="10">
        <f t="shared" si="30"/>
        <v>3.5196694214876034E-2</v>
      </c>
      <c r="I68" s="10">
        <f t="shared" si="31"/>
        <v>0.31699586776859501</v>
      </c>
      <c r="J68" s="80"/>
      <c r="K68" s="81"/>
      <c r="L68" s="10">
        <f t="shared" si="32"/>
        <v>0</v>
      </c>
      <c r="M68" s="10">
        <f t="shared" si="33"/>
        <v>0</v>
      </c>
      <c r="N68" s="10">
        <f t="shared" si="34"/>
        <v>0</v>
      </c>
      <c r="O68" s="10">
        <f t="shared" si="35"/>
        <v>0</v>
      </c>
      <c r="P68" s="10">
        <f t="shared" si="36"/>
        <v>0</v>
      </c>
      <c r="Q68" s="86">
        <v>1</v>
      </c>
      <c r="R68" s="87">
        <v>16386</v>
      </c>
      <c r="S68" s="10">
        <f t="shared" si="37"/>
        <v>0.15423002754820936</v>
      </c>
      <c r="T68" s="10">
        <f t="shared" si="38"/>
        <v>3.7880399449035815</v>
      </c>
      <c r="U68" s="10">
        <f t="shared" si="39"/>
        <v>66.130826446281006</v>
      </c>
      <c r="V68" s="10">
        <f t="shared" si="40"/>
        <v>4.626900826446281E-3</v>
      </c>
      <c r="W68" s="10">
        <f t="shared" si="41"/>
        <v>0.22728239669421488</v>
      </c>
    </row>
    <row r="69" spans="1:23">
      <c r="A69" s="83" t="s">
        <v>41</v>
      </c>
      <c r="B69" s="9">
        <v>0.4</v>
      </c>
      <c r="C69" s="86">
        <v>1</v>
      </c>
      <c r="D69" s="88">
        <v>707</v>
      </c>
      <c r="E69" s="10">
        <f t="shared" si="27"/>
        <v>2.6293388429752072E-2</v>
      </c>
      <c r="F69" s="10">
        <f t="shared" si="28"/>
        <v>0.27364600550964191</v>
      </c>
      <c r="G69" s="10">
        <f t="shared" si="29"/>
        <v>19.011093663911847</v>
      </c>
      <c r="H69" s="10">
        <f t="shared" si="30"/>
        <v>1.3672561983471077E-2</v>
      </c>
      <c r="I69" s="10">
        <f t="shared" si="31"/>
        <v>0.12314070247933886</v>
      </c>
      <c r="J69" s="80"/>
      <c r="K69" s="82"/>
      <c r="L69" s="10">
        <f t="shared" si="32"/>
        <v>0</v>
      </c>
      <c r="M69" s="10">
        <f t="shared" si="33"/>
        <v>0</v>
      </c>
      <c r="N69" s="10">
        <f t="shared" si="34"/>
        <v>0</v>
      </c>
      <c r="O69" s="10">
        <f t="shared" si="35"/>
        <v>0</v>
      </c>
      <c r="P69" s="10">
        <f t="shared" si="36"/>
        <v>0</v>
      </c>
      <c r="Q69" s="86">
        <v>1</v>
      </c>
      <c r="R69" s="88">
        <v>1300</v>
      </c>
      <c r="S69" s="10">
        <f t="shared" si="37"/>
        <v>1.2235996326905417E-2</v>
      </c>
      <c r="T69" s="10">
        <f t="shared" si="38"/>
        <v>0.30052800734618917</v>
      </c>
      <c r="U69" s="10">
        <f t="shared" si="39"/>
        <v>5.2465564738292008</v>
      </c>
      <c r="V69" s="10">
        <f t="shared" si="40"/>
        <v>3.670798898071625E-4</v>
      </c>
      <c r="W69" s="10">
        <f t="shared" si="41"/>
        <v>1.8031680440771351E-2</v>
      </c>
    </row>
    <row r="70" spans="1:23">
      <c r="A70" s="83" t="s">
        <v>136</v>
      </c>
      <c r="B70" s="9">
        <v>0.2</v>
      </c>
      <c r="C70" s="86"/>
      <c r="D70" s="87"/>
      <c r="E70" s="10">
        <f t="shared" si="27"/>
        <v>0</v>
      </c>
      <c r="F70" s="10">
        <f t="shared" si="28"/>
        <v>0</v>
      </c>
      <c r="G70" s="10">
        <f t="shared" si="29"/>
        <v>0</v>
      </c>
      <c r="H70" s="10">
        <f t="shared" si="30"/>
        <v>0</v>
      </c>
      <c r="I70" s="10">
        <f t="shared" si="31"/>
        <v>0</v>
      </c>
      <c r="J70" s="80"/>
      <c r="K70" s="81"/>
      <c r="L70" s="10">
        <f t="shared" si="32"/>
        <v>0</v>
      </c>
      <c r="M70" s="10">
        <f t="shared" si="33"/>
        <v>0</v>
      </c>
      <c r="N70" s="10">
        <f t="shared" si="34"/>
        <v>0</v>
      </c>
      <c r="O70" s="10">
        <f t="shared" si="35"/>
        <v>0</v>
      </c>
      <c r="P70" s="10">
        <f t="shared" si="36"/>
        <v>0</v>
      </c>
      <c r="Q70" s="86">
        <v>1</v>
      </c>
      <c r="R70" s="87">
        <v>590</v>
      </c>
      <c r="S70" s="10">
        <f t="shared" si="37"/>
        <v>5.5532598714416893E-3</v>
      </c>
      <c r="T70" s="10">
        <f t="shared" si="38"/>
        <v>0.13639348025711662</v>
      </c>
      <c r="U70" s="10">
        <f t="shared" si="39"/>
        <v>2.3811294765840221</v>
      </c>
      <c r="V70" s="10">
        <f t="shared" si="40"/>
        <v>1.6659779614325068E-4</v>
      </c>
      <c r="W70" s="10">
        <f t="shared" si="41"/>
        <v>8.183608815426997E-3</v>
      </c>
    </row>
    <row r="71" spans="1:23">
      <c r="A71" s="83" t="s">
        <v>111</v>
      </c>
      <c r="B71" s="9">
        <v>0.4</v>
      </c>
      <c r="C71" s="86">
        <v>1</v>
      </c>
      <c r="D71" s="87">
        <v>2229</v>
      </c>
      <c r="E71" s="10">
        <f t="shared" si="27"/>
        <v>8.2896694214876041E-2</v>
      </c>
      <c r="F71" s="10">
        <f t="shared" si="28"/>
        <v>0.86273966942148761</v>
      </c>
      <c r="G71" s="10">
        <f t="shared" si="29"/>
        <v>59.937380165289255</v>
      </c>
      <c r="H71" s="10">
        <f t="shared" si="30"/>
        <v>4.3106280991735545E-2</v>
      </c>
      <c r="I71" s="10">
        <f t="shared" si="31"/>
        <v>0.38823285123966944</v>
      </c>
      <c r="J71" s="80"/>
      <c r="K71" s="81"/>
      <c r="L71" s="10">
        <f t="shared" si="32"/>
        <v>0</v>
      </c>
      <c r="M71" s="10">
        <f t="shared" si="33"/>
        <v>0</v>
      </c>
      <c r="N71" s="10">
        <f t="shared" si="34"/>
        <v>0</v>
      </c>
      <c r="O71" s="10">
        <f t="shared" si="35"/>
        <v>0</v>
      </c>
      <c r="P71" s="10">
        <f t="shared" si="36"/>
        <v>0</v>
      </c>
      <c r="Q71" s="86">
        <v>1</v>
      </c>
      <c r="R71" s="87">
        <v>7422</v>
      </c>
      <c r="S71" s="10">
        <f t="shared" si="37"/>
        <v>6.9858126721763072E-2</v>
      </c>
      <c r="T71" s="10">
        <f t="shared" si="38"/>
        <v>1.7157837465564738</v>
      </c>
      <c r="U71" s="10">
        <f t="shared" si="39"/>
        <v>29.953801652892562</v>
      </c>
      <c r="V71" s="10">
        <f t="shared" si="40"/>
        <v>2.0957438016528922E-3</v>
      </c>
      <c r="W71" s="10">
        <f t="shared" si="41"/>
        <v>0.10294702479338842</v>
      </c>
    </row>
    <row r="72" spans="1:23">
      <c r="A72" s="83" t="s">
        <v>123</v>
      </c>
      <c r="B72" s="9">
        <v>0.4</v>
      </c>
      <c r="C72" s="86">
        <v>1</v>
      </c>
      <c r="D72" s="87">
        <v>1247</v>
      </c>
      <c r="E72" s="10">
        <f t="shared" si="27"/>
        <v>4.6376033057851249E-2</v>
      </c>
      <c r="F72" s="10">
        <f t="shared" si="28"/>
        <v>0.48265426997245181</v>
      </c>
      <c r="G72" s="10">
        <f t="shared" si="29"/>
        <v>33.531589531680439</v>
      </c>
      <c r="H72" s="10">
        <f t="shared" si="30"/>
        <v>2.411553719008265E-2</v>
      </c>
      <c r="I72" s="10">
        <f t="shared" si="31"/>
        <v>0.21719442148760332</v>
      </c>
      <c r="J72" s="80"/>
      <c r="K72" s="81"/>
      <c r="L72" s="10">
        <f t="shared" si="32"/>
        <v>0</v>
      </c>
      <c r="M72" s="10">
        <f t="shared" si="33"/>
        <v>0</v>
      </c>
      <c r="N72" s="10">
        <f t="shared" si="34"/>
        <v>0</v>
      </c>
      <c r="O72" s="10">
        <f t="shared" si="35"/>
        <v>0</v>
      </c>
      <c r="P72" s="10">
        <f t="shared" si="36"/>
        <v>0</v>
      </c>
      <c r="Q72" s="86">
        <v>1</v>
      </c>
      <c r="R72" s="87">
        <v>4000</v>
      </c>
      <c r="S72" s="10">
        <f t="shared" si="37"/>
        <v>3.7649219467401282E-2</v>
      </c>
      <c r="T72" s="10">
        <f t="shared" si="38"/>
        <v>0.92470156106519741</v>
      </c>
      <c r="U72" s="10">
        <f t="shared" si="39"/>
        <v>16.143250688705233</v>
      </c>
      <c r="V72" s="10">
        <f t="shared" si="40"/>
        <v>1.1294765840220383E-3</v>
      </c>
      <c r="W72" s="10">
        <f t="shared" si="41"/>
        <v>5.5482093663911845E-2</v>
      </c>
    </row>
    <row r="73" spans="1:23">
      <c r="A73" s="83" t="s">
        <v>124</v>
      </c>
      <c r="B73" s="9">
        <v>0.4</v>
      </c>
      <c r="C73" s="86">
        <v>1</v>
      </c>
      <c r="D73" s="87">
        <v>1500</v>
      </c>
      <c r="E73" s="10">
        <f t="shared" si="27"/>
        <v>5.5785123966942157E-2</v>
      </c>
      <c r="F73" s="10">
        <f t="shared" si="28"/>
        <v>0.58057851239669422</v>
      </c>
      <c r="G73" s="10">
        <f t="shared" si="29"/>
        <v>40.334710743801651</v>
      </c>
      <c r="H73" s="10">
        <f t="shared" si="30"/>
        <v>2.9008264462809921E-2</v>
      </c>
      <c r="I73" s="10">
        <f t="shared" si="31"/>
        <v>0.26126033057851239</v>
      </c>
      <c r="J73" s="80"/>
      <c r="K73" s="81"/>
      <c r="L73" s="10">
        <f t="shared" si="32"/>
        <v>0</v>
      </c>
      <c r="M73" s="10">
        <f t="shared" si="33"/>
        <v>0</v>
      </c>
      <c r="N73" s="10">
        <f t="shared" si="34"/>
        <v>0</v>
      </c>
      <c r="O73" s="10">
        <f t="shared" si="35"/>
        <v>0</v>
      </c>
      <c r="P73" s="10">
        <f t="shared" si="36"/>
        <v>0</v>
      </c>
      <c r="Q73" s="86">
        <v>1</v>
      </c>
      <c r="R73" s="87">
        <v>2900</v>
      </c>
      <c r="S73" s="10">
        <f t="shared" si="37"/>
        <v>2.7295684113865928E-2</v>
      </c>
      <c r="T73" s="10">
        <f t="shared" si="38"/>
        <v>0.67040863177226817</v>
      </c>
      <c r="U73" s="10">
        <f t="shared" si="39"/>
        <v>11.703856749311296</v>
      </c>
      <c r="V73" s="10">
        <f t="shared" si="40"/>
        <v>8.1887052341597785E-4</v>
      </c>
      <c r="W73" s="10">
        <f t="shared" si="41"/>
        <v>4.0224517906336091E-2</v>
      </c>
    </row>
    <row r="74" spans="1:23">
      <c r="A74" s="83" t="s">
        <v>150</v>
      </c>
      <c r="B74" s="9">
        <v>0.5</v>
      </c>
      <c r="C74" s="86">
        <v>1</v>
      </c>
      <c r="D74" s="88">
        <v>1730</v>
      </c>
      <c r="E74" s="10">
        <f t="shared" si="27"/>
        <v>6.4338842975206617E-2</v>
      </c>
      <c r="F74" s="10">
        <f t="shared" si="28"/>
        <v>0.66960055096418736</v>
      </c>
      <c r="G74" s="10">
        <f t="shared" si="29"/>
        <v>46.519366391184576</v>
      </c>
      <c r="H74" s="10">
        <f t="shared" si="30"/>
        <v>3.345619834710744E-2</v>
      </c>
      <c r="I74" s="10">
        <f t="shared" si="31"/>
        <v>0.30132024793388434</v>
      </c>
      <c r="J74" s="80">
        <v>1</v>
      </c>
      <c r="K74" s="82">
        <v>432.5</v>
      </c>
      <c r="L74" s="10">
        <f t="shared" si="32"/>
        <v>1.6084710743801654E-2</v>
      </c>
      <c r="M74" s="10">
        <f t="shared" si="33"/>
        <v>0.16740013774104684</v>
      </c>
      <c r="N74" s="10">
        <f t="shared" si="34"/>
        <v>11.629841597796144</v>
      </c>
      <c r="O74" s="10">
        <f t="shared" si="35"/>
        <v>5.3079545454545463E-3</v>
      </c>
      <c r="P74" s="10">
        <f t="shared" si="36"/>
        <v>4.687203856749312E-2</v>
      </c>
      <c r="Q74" s="86">
        <v>1</v>
      </c>
      <c r="R74" s="88">
        <v>7667.5</v>
      </c>
      <c r="S74" s="10">
        <f t="shared" si="37"/>
        <v>7.2168847566574837E-2</v>
      </c>
      <c r="T74" s="10">
        <f t="shared" si="38"/>
        <v>1.7725373048668505</v>
      </c>
      <c r="U74" s="10">
        <f t="shared" si="39"/>
        <v>30.944593663911849</v>
      </c>
      <c r="V74" s="10">
        <f t="shared" si="40"/>
        <v>2.1650654269972452E-3</v>
      </c>
      <c r="W74" s="10">
        <f t="shared" si="41"/>
        <v>0.10635223829201103</v>
      </c>
    </row>
    <row r="75" spans="1:23">
      <c r="A75" s="83" t="s">
        <v>54</v>
      </c>
      <c r="B75" s="9">
        <v>0.5</v>
      </c>
      <c r="C75" s="86">
        <v>1</v>
      </c>
      <c r="D75" s="87">
        <v>1160</v>
      </c>
      <c r="E75" s="10">
        <f t="shared" si="27"/>
        <v>4.3140495867768594E-2</v>
      </c>
      <c r="F75" s="10">
        <f t="shared" si="28"/>
        <v>0.44898071625344349</v>
      </c>
      <c r="G75" s="10">
        <f t="shared" si="29"/>
        <v>31.192176308539942</v>
      </c>
      <c r="H75" s="10">
        <f t="shared" si="30"/>
        <v>2.2433057851239668E-2</v>
      </c>
      <c r="I75" s="10">
        <f t="shared" si="31"/>
        <v>0.20204132231404959</v>
      </c>
      <c r="J75" s="80"/>
      <c r="K75" s="81"/>
      <c r="L75" s="10">
        <f t="shared" si="32"/>
        <v>0</v>
      </c>
      <c r="M75" s="10">
        <f t="shared" si="33"/>
        <v>0</v>
      </c>
      <c r="N75" s="10">
        <f t="shared" si="34"/>
        <v>0</v>
      </c>
      <c r="O75" s="10">
        <f t="shared" si="35"/>
        <v>0</v>
      </c>
      <c r="P75" s="10">
        <f t="shared" si="36"/>
        <v>0</v>
      </c>
      <c r="Q75" s="86">
        <v>1</v>
      </c>
      <c r="R75" s="87">
        <v>5472</v>
      </c>
      <c r="S75" s="10">
        <f t="shared" si="37"/>
        <v>5.1504132231404959E-2</v>
      </c>
      <c r="T75" s="10">
        <f t="shared" si="38"/>
        <v>1.2649917355371902</v>
      </c>
      <c r="U75" s="10">
        <f t="shared" si="39"/>
        <v>22.083966942148763</v>
      </c>
      <c r="V75" s="10">
        <f t="shared" si="40"/>
        <v>1.5451239669421488E-3</v>
      </c>
      <c r="W75" s="10">
        <f t="shared" si="41"/>
        <v>7.5899504132231413E-2</v>
      </c>
    </row>
    <row r="76" spans="1:23">
      <c r="A76" s="83" t="s">
        <v>23</v>
      </c>
      <c r="B76" s="9">
        <v>0.4</v>
      </c>
      <c r="C76" s="86">
        <v>1</v>
      </c>
      <c r="D76" s="88">
        <v>2851.5</v>
      </c>
      <c r="E76" s="10">
        <f t="shared" si="27"/>
        <v>0.10604752066115702</v>
      </c>
      <c r="F76" s="10">
        <f t="shared" si="28"/>
        <v>1.1036797520661155</v>
      </c>
      <c r="G76" s="10">
        <f t="shared" si="29"/>
        <v>76.676285123966935</v>
      </c>
      <c r="H76" s="10">
        <f t="shared" si="30"/>
        <v>5.5144710743801652E-2</v>
      </c>
      <c r="I76" s="10">
        <f t="shared" si="31"/>
        <v>0.49665588842975195</v>
      </c>
      <c r="J76" s="80"/>
      <c r="K76" s="82"/>
      <c r="L76" s="10">
        <f t="shared" si="32"/>
        <v>0</v>
      </c>
      <c r="M76" s="10">
        <f t="shared" si="33"/>
        <v>0</v>
      </c>
      <c r="N76" s="10">
        <f t="shared" si="34"/>
        <v>0</v>
      </c>
      <c r="O76" s="10">
        <f t="shared" si="35"/>
        <v>0</v>
      </c>
      <c r="P76" s="10">
        <f t="shared" si="36"/>
        <v>0</v>
      </c>
      <c r="Q76" s="86">
        <v>1</v>
      </c>
      <c r="R76" s="88">
        <v>10502</v>
      </c>
      <c r="S76" s="10">
        <f t="shared" si="37"/>
        <v>9.8848025711662069E-2</v>
      </c>
      <c r="T76" s="10">
        <f t="shared" si="38"/>
        <v>2.4278039485766758</v>
      </c>
      <c r="U76" s="10">
        <f t="shared" si="39"/>
        <v>42.384104683195595</v>
      </c>
      <c r="V76" s="10">
        <f t="shared" si="40"/>
        <v>2.9654407713498618E-3</v>
      </c>
      <c r="W76" s="10">
        <f t="shared" si="41"/>
        <v>0.14566823691460054</v>
      </c>
    </row>
    <row r="77" spans="1:23">
      <c r="A77" s="83" t="s">
        <v>81</v>
      </c>
      <c r="B77" s="9">
        <v>0.4</v>
      </c>
      <c r="C77" s="86">
        <v>1</v>
      </c>
      <c r="D77" s="87">
        <v>1271</v>
      </c>
      <c r="E77" s="10">
        <f t="shared" si="27"/>
        <v>4.7268595041322317E-2</v>
      </c>
      <c r="F77" s="10">
        <f t="shared" si="28"/>
        <v>0.49194352617079884</v>
      </c>
      <c r="G77" s="10">
        <f t="shared" si="29"/>
        <v>34.176944903581266</v>
      </c>
      <c r="H77" s="10">
        <f t="shared" si="30"/>
        <v>2.4579669421487607E-2</v>
      </c>
      <c r="I77" s="10">
        <f t="shared" si="31"/>
        <v>0.22137458677685948</v>
      </c>
      <c r="J77" s="80"/>
      <c r="K77" s="81"/>
      <c r="L77" s="10">
        <f t="shared" si="32"/>
        <v>0</v>
      </c>
      <c r="M77" s="10">
        <f t="shared" si="33"/>
        <v>0</v>
      </c>
      <c r="N77" s="10">
        <f t="shared" si="34"/>
        <v>0</v>
      </c>
      <c r="O77" s="10">
        <f t="shared" si="35"/>
        <v>0</v>
      </c>
      <c r="P77" s="10">
        <f t="shared" si="36"/>
        <v>0</v>
      </c>
      <c r="Q77" s="86">
        <v>1</v>
      </c>
      <c r="R77" s="87">
        <v>2400</v>
      </c>
      <c r="S77" s="10">
        <f t="shared" si="37"/>
        <v>2.2589531680440769E-2</v>
      </c>
      <c r="T77" s="10">
        <f t="shared" si="38"/>
        <v>0.55482093663911847</v>
      </c>
      <c r="U77" s="10">
        <f t="shared" si="39"/>
        <v>9.6859504132231411</v>
      </c>
      <c r="V77" s="10">
        <f t="shared" si="40"/>
        <v>6.7768595041322308E-4</v>
      </c>
      <c r="W77" s="10">
        <f t="shared" si="41"/>
        <v>3.3289256198347106E-2</v>
      </c>
    </row>
    <row r="78" spans="1:23">
      <c r="A78" s="83" t="s">
        <v>130</v>
      </c>
      <c r="B78" s="9">
        <v>0.5</v>
      </c>
      <c r="C78" s="86">
        <v>1</v>
      </c>
      <c r="D78" s="87">
        <v>1200</v>
      </c>
      <c r="E78" s="10">
        <f t="shared" si="27"/>
        <v>4.4628099173553724E-2</v>
      </c>
      <c r="F78" s="10">
        <f t="shared" si="28"/>
        <v>0.46446280991735539</v>
      </c>
      <c r="G78" s="10">
        <f t="shared" si="29"/>
        <v>32.267768595041325</v>
      </c>
      <c r="H78" s="10">
        <f t="shared" si="30"/>
        <v>2.3206611570247938E-2</v>
      </c>
      <c r="I78" s="10">
        <f t="shared" si="31"/>
        <v>0.20900826446280993</v>
      </c>
      <c r="J78" s="80">
        <v>1</v>
      </c>
      <c r="K78" s="81">
        <v>700</v>
      </c>
      <c r="L78" s="10">
        <f t="shared" si="32"/>
        <v>2.6033057851239674E-2</v>
      </c>
      <c r="M78" s="10">
        <f t="shared" si="33"/>
        <v>0.27093663911845733</v>
      </c>
      <c r="N78" s="10">
        <f t="shared" si="34"/>
        <v>18.822865013774106</v>
      </c>
      <c r="O78" s="10">
        <f t="shared" si="35"/>
        <v>8.5909090909090935E-3</v>
      </c>
      <c r="P78" s="10">
        <f t="shared" si="36"/>
        <v>7.586225895316806E-2</v>
      </c>
      <c r="Q78" s="86"/>
      <c r="R78" s="87"/>
      <c r="S78" s="10">
        <f t="shared" si="37"/>
        <v>0</v>
      </c>
      <c r="T78" s="10">
        <f t="shared" si="38"/>
        <v>0</v>
      </c>
      <c r="U78" s="10">
        <f t="shared" si="39"/>
        <v>0</v>
      </c>
      <c r="V78" s="10">
        <f t="shared" si="40"/>
        <v>0</v>
      </c>
      <c r="W78" s="10">
        <f t="shared" si="41"/>
        <v>0</v>
      </c>
    </row>
    <row r="79" spans="1:23">
      <c r="A79" s="83" t="s">
        <v>19</v>
      </c>
      <c r="B79" s="9">
        <v>0.4</v>
      </c>
      <c r="C79" s="86">
        <v>1</v>
      </c>
      <c r="D79" s="88">
        <v>946</v>
      </c>
      <c r="E79" s="10">
        <f t="shared" si="27"/>
        <v>3.5181818181818189E-2</v>
      </c>
      <c r="F79" s="10">
        <f t="shared" si="28"/>
        <v>0.36615151515151517</v>
      </c>
      <c r="G79" s="10">
        <f t="shared" si="29"/>
        <v>25.437757575757576</v>
      </c>
      <c r="H79" s="10">
        <f t="shared" si="30"/>
        <v>1.8294545454545459E-2</v>
      </c>
      <c r="I79" s="10">
        <f t="shared" si="31"/>
        <v>0.16476818181818184</v>
      </c>
      <c r="J79" s="80"/>
      <c r="K79" s="82"/>
      <c r="L79" s="10">
        <f t="shared" si="32"/>
        <v>0</v>
      </c>
      <c r="M79" s="10">
        <f t="shared" si="33"/>
        <v>0</v>
      </c>
      <c r="N79" s="10">
        <f t="shared" si="34"/>
        <v>0</v>
      </c>
      <c r="O79" s="10">
        <f t="shared" si="35"/>
        <v>0</v>
      </c>
      <c r="P79" s="10">
        <f t="shared" si="36"/>
        <v>0</v>
      </c>
      <c r="Q79" s="86">
        <v>1</v>
      </c>
      <c r="R79" s="88">
        <v>2200</v>
      </c>
      <c r="S79" s="10">
        <f t="shared" si="37"/>
        <v>2.0707070707070705E-2</v>
      </c>
      <c r="T79" s="10">
        <f t="shared" si="38"/>
        <v>0.50858585858585859</v>
      </c>
      <c r="U79" s="10">
        <f t="shared" si="39"/>
        <v>8.8787878787878789</v>
      </c>
      <c r="V79" s="10">
        <f t="shared" si="40"/>
        <v>6.2121212121212118E-4</v>
      </c>
      <c r="W79" s="10">
        <f t="shared" si="41"/>
        <v>3.0515151515151513E-2</v>
      </c>
    </row>
    <row r="80" spans="1:23">
      <c r="A80" s="83" t="s">
        <v>24</v>
      </c>
      <c r="B80" s="9">
        <v>0.4</v>
      </c>
      <c r="C80" s="86"/>
      <c r="D80" s="88"/>
      <c r="E80" s="10">
        <f t="shared" si="27"/>
        <v>0</v>
      </c>
      <c r="F80" s="10">
        <f t="shared" si="28"/>
        <v>0</v>
      </c>
      <c r="G80" s="10">
        <f t="shared" si="29"/>
        <v>0</v>
      </c>
      <c r="H80" s="10">
        <f t="shared" si="30"/>
        <v>0</v>
      </c>
      <c r="I80" s="10">
        <f t="shared" si="31"/>
        <v>0</v>
      </c>
      <c r="J80" s="80">
        <v>1</v>
      </c>
      <c r="K80" s="82">
        <v>200</v>
      </c>
      <c r="L80" s="10">
        <f t="shared" si="32"/>
        <v>7.4380165289256199E-3</v>
      </c>
      <c r="M80" s="10">
        <f t="shared" si="33"/>
        <v>7.7410468319559222E-2</v>
      </c>
      <c r="N80" s="10">
        <f t="shared" si="34"/>
        <v>5.3779614325068863</v>
      </c>
      <c r="O80" s="10">
        <f t="shared" si="35"/>
        <v>2.4545454545454545E-3</v>
      </c>
      <c r="P80" s="10">
        <f t="shared" si="36"/>
        <v>2.1674931129476584E-2</v>
      </c>
      <c r="Q80" s="86">
        <v>1</v>
      </c>
      <c r="R80" s="88">
        <v>3500</v>
      </c>
      <c r="S80" s="10">
        <f t="shared" si="37"/>
        <v>3.294306703397612E-2</v>
      </c>
      <c r="T80" s="10">
        <f t="shared" si="38"/>
        <v>0.8091138659320477</v>
      </c>
      <c r="U80" s="10">
        <f t="shared" si="39"/>
        <v>14.125344352617081</v>
      </c>
      <c r="V80" s="10">
        <f t="shared" si="40"/>
        <v>9.8829201101928357E-4</v>
      </c>
      <c r="W80" s="10">
        <f t="shared" si="41"/>
        <v>4.854683195592286E-2</v>
      </c>
    </row>
    <row r="81" spans="1:23">
      <c r="A81" s="83" t="s">
        <v>90</v>
      </c>
      <c r="B81" s="9">
        <v>0.5</v>
      </c>
      <c r="C81" s="86">
        <v>1</v>
      </c>
      <c r="D81" s="87">
        <v>1918</v>
      </c>
      <c r="E81" s="10">
        <f t="shared" si="27"/>
        <v>7.13305785123967E-2</v>
      </c>
      <c r="F81" s="10">
        <f t="shared" si="28"/>
        <v>0.74236639118457304</v>
      </c>
      <c r="G81" s="10">
        <f t="shared" si="29"/>
        <v>51.574650137741045</v>
      </c>
      <c r="H81" s="10">
        <f t="shared" si="30"/>
        <v>3.7091900826446284E-2</v>
      </c>
      <c r="I81" s="10">
        <f t="shared" si="31"/>
        <v>0.3340648760330579</v>
      </c>
      <c r="J81" s="80">
        <v>1</v>
      </c>
      <c r="K81" s="81">
        <v>950</v>
      </c>
      <c r="L81" s="10">
        <f t="shared" si="32"/>
        <v>3.5330578512396696E-2</v>
      </c>
      <c r="M81" s="10">
        <f t="shared" si="33"/>
        <v>0.36769972451790633</v>
      </c>
      <c r="N81" s="10">
        <f t="shared" si="34"/>
        <v>25.545316804407712</v>
      </c>
      <c r="O81" s="10">
        <f t="shared" si="35"/>
        <v>1.1659090909090911E-2</v>
      </c>
      <c r="P81" s="10">
        <f t="shared" si="36"/>
        <v>0.10295592286501379</v>
      </c>
      <c r="Q81" s="86"/>
      <c r="R81" s="87"/>
      <c r="S81" s="10">
        <f t="shared" si="37"/>
        <v>0</v>
      </c>
      <c r="T81" s="10">
        <f t="shared" si="38"/>
        <v>0</v>
      </c>
      <c r="U81" s="10">
        <f t="shared" si="39"/>
        <v>0</v>
      </c>
      <c r="V81" s="10">
        <f t="shared" si="40"/>
        <v>0</v>
      </c>
      <c r="W81" s="10">
        <f t="shared" si="41"/>
        <v>0</v>
      </c>
    </row>
    <row r="82" spans="1:23">
      <c r="A82" s="83" t="s">
        <v>9</v>
      </c>
      <c r="B82" s="9">
        <v>0.3</v>
      </c>
      <c r="C82" s="86">
        <v>1</v>
      </c>
      <c r="D82" s="88">
        <v>1854</v>
      </c>
      <c r="E82" s="10">
        <f t="shared" si="27"/>
        <v>6.8950413223140494E-2</v>
      </c>
      <c r="F82" s="10">
        <f t="shared" si="28"/>
        <v>0.717595041322314</v>
      </c>
      <c r="G82" s="10">
        <f t="shared" si="29"/>
        <v>49.853702479338835</v>
      </c>
      <c r="H82" s="10">
        <f t="shared" si="30"/>
        <v>3.5854214876033061E-2</v>
      </c>
      <c r="I82" s="10">
        <f t="shared" si="31"/>
        <v>0.32291776859504129</v>
      </c>
      <c r="J82" s="80"/>
      <c r="K82" s="82"/>
      <c r="L82" s="10">
        <f t="shared" si="32"/>
        <v>0</v>
      </c>
      <c r="M82" s="10">
        <f t="shared" si="33"/>
        <v>0</v>
      </c>
      <c r="N82" s="10">
        <f t="shared" si="34"/>
        <v>0</v>
      </c>
      <c r="O82" s="10">
        <f t="shared" si="35"/>
        <v>0</v>
      </c>
      <c r="P82" s="10">
        <f t="shared" si="36"/>
        <v>0</v>
      </c>
      <c r="Q82" s="86">
        <v>1</v>
      </c>
      <c r="R82" s="88">
        <v>5457</v>
      </c>
      <c r="S82" s="10">
        <f t="shared" si="37"/>
        <v>5.13629476584022E-2</v>
      </c>
      <c r="T82" s="10">
        <f t="shared" si="38"/>
        <v>1.2615241046831955</v>
      </c>
      <c r="U82" s="10">
        <f t="shared" si="39"/>
        <v>22.023429752066114</v>
      </c>
      <c r="V82" s="10">
        <f t="shared" si="40"/>
        <v>1.540888429752066E-3</v>
      </c>
      <c r="W82" s="10">
        <f t="shared" si="41"/>
        <v>7.5691446280991725E-2</v>
      </c>
    </row>
    <row r="83" spans="1:23" ht="15" customHeight="1">
      <c r="A83" s="83" t="s">
        <v>61</v>
      </c>
      <c r="B83" s="9">
        <v>0.3</v>
      </c>
      <c r="C83" s="86">
        <v>1</v>
      </c>
      <c r="D83" s="87">
        <v>2550</v>
      </c>
      <c r="E83" s="10">
        <f t="shared" si="27"/>
        <v>9.4834710743801662E-2</v>
      </c>
      <c r="F83" s="10">
        <f t="shared" si="28"/>
        <v>0.98698347107438011</v>
      </c>
      <c r="G83" s="10">
        <f t="shared" si="29"/>
        <v>68.569008264462809</v>
      </c>
      <c r="H83" s="10">
        <f t="shared" si="30"/>
        <v>4.9314049586776869E-2</v>
      </c>
      <c r="I83" s="10">
        <f t="shared" si="31"/>
        <v>0.44414256198347107</v>
      </c>
      <c r="J83" s="80"/>
      <c r="K83" s="81"/>
      <c r="L83" s="10">
        <f t="shared" si="32"/>
        <v>0</v>
      </c>
      <c r="M83" s="10">
        <f t="shared" si="33"/>
        <v>0</v>
      </c>
      <c r="N83" s="10">
        <f t="shared" si="34"/>
        <v>0</v>
      </c>
      <c r="O83" s="10">
        <f t="shared" si="35"/>
        <v>0</v>
      </c>
      <c r="P83" s="10">
        <f t="shared" si="36"/>
        <v>0</v>
      </c>
      <c r="Q83" s="86">
        <v>1</v>
      </c>
      <c r="R83" s="87">
        <v>5752</v>
      </c>
      <c r="S83" s="10">
        <f t="shared" si="37"/>
        <v>5.4139577594123044E-2</v>
      </c>
      <c r="T83" s="10">
        <f t="shared" si="38"/>
        <v>1.3297208448117539</v>
      </c>
      <c r="U83" s="10">
        <f t="shared" si="39"/>
        <v>23.213994490358129</v>
      </c>
      <c r="V83" s="10">
        <f t="shared" si="40"/>
        <v>1.6241873278236912E-3</v>
      </c>
      <c r="W83" s="10">
        <f t="shared" si="41"/>
        <v>7.9783250688705232E-2</v>
      </c>
    </row>
    <row r="84" spans="1:23">
      <c r="A84" s="83" t="s">
        <v>149</v>
      </c>
      <c r="B84" s="9">
        <v>0.5</v>
      </c>
      <c r="C84" s="86">
        <v>1</v>
      </c>
      <c r="D84" s="87"/>
      <c r="E84" s="10">
        <f t="shared" si="27"/>
        <v>0</v>
      </c>
      <c r="F84" s="10">
        <f t="shared" si="28"/>
        <v>0</v>
      </c>
      <c r="G84" s="10">
        <f t="shared" si="29"/>
        <v>0</v>
      </c>
      <c r="H84" s="10">
        <f t="shared" si="30"/>
        <v>0</v>
      </c>
      <c r="I84" s="10">
        <f t="shared" si="31"/>
        <v>0</v>
      </c>
      <c r="J84" s="80"/>
      <c r="K84" s="81"/>
      <c r="L84" s="10">
        <f t="shared" si="32"/>
        <v>0</v>
      </c>
      <c r="M84" s="10">
        <f t="shared" si="33"/>
        <v>0</v>
      </c>
      <c r="N84" s="10">
        <f t="shared" si="34"/>
        <v>0</v>
      </c>
      <c r="O84" s="10">
        <f t="shared" si="35"/>
        <v>0</v>
      </c>
      <c r="P84" s="10">
        <f t="shared" si="36"/>
        <v>0</v>
      </c>
      <c r="Q84" s="86">
        <v>1</v>
      </c>
      <c r="R84" s="87"/>
      <c r="S84" s="10">
        <f t="shared" si="37"/>
        <v>0</v>
      </c>
      <c r="T84" s="10">
        <f t="shared" si="38"/>
        <v>0</v>
      </c>
      <c r="U84" s="10">
        <f t="shared" si="39"/>
        <v>0</v>
      </c>
      <c r="V84" s="10">
        <f t="shared" si="40"/>
        <v>0</v>
      </c>
      <c r="W84" s="10">
        <f t="shared" si="41"/>
        <v>0</v>
      </c>
    </row>
    <row r="85" spans="1:23">
      <c r="A85" s="83" t="s">
        <v>115</v>
      </c>
      <c r="B85" s="9">
        <v>0.4</v>
      </c>
      <c r="C85" s="86">
        <v>1</v>
      </c>
      <c r="D85" s="87">
        <v>1147</v>
      </c>
      <c r="E85" s="10">
        <f t="shared" si="27"/>
        <v>4.2657024793388433E-2</v>
      </c>
      <c r="F85" s="10">
        <f t="shared" si="28"/>
        <v>0.44394903581267214</v>
      </c>
      <c r="G85" s="10">
        <f t="shared" si="29"/>
        <v>30.842608815426996</v>
      </c>
      <c r="H85" s="10">
        <f t="shared" si="30"/>
        <v>2.2181652892561986E-2</v>
      </c>
      <c r="I85" s="10">
        <f t="shared" si="31"/>
        <v>0.19977706611570248</v>
      </c>
      <c r="J85" s="80"/>
      <c r="K85" s="81"/>
      <c r="L85" s="10">
        <f t="shared" si="32"/>
        <v>0</v>
      </c>
      <c r="M85" s="10">
        <f t="shared" si="33"/>
        <v>0</v>
      </c>
      <c r="N85" s="10">
        <f t="shared" si="34"/>
        <v>0</v>
      </c>
      <c r="O85" s="10">
        <f t="shared" si="35"/>
        <v>0</v>
      </c>
      <c r="P85" s="10">
        <f t="shared" si="36"/>
        <v>0</v>
      </c>
      <c r="Q85" s="86">
        <v>1</v>
      </c>
      <c r="R85" s="87">
        <v>4312</v>
      </c>
      <c r="S85" s="10">
        <f t="shared" si="37"/>
        <v>4.0585858585858586E-2</v>
      </c>
      <c r="T85" s="10">
        <f t="shared" si="38"/>
        <v>0.99682828282828284</v>
      </c>
      <c r="U85" s="10">
        <f t="shared" si="39"/>
        <v>17.402424242424242</v>
      </c>
      <c r="V85" s="10">
        <f t="shared" si="40"/>
        <v>1.2175757575757576E-3</v>
      </c>
      <c r="W85" s="10">
        <f t="shared" si="41"/>
        <v>5.9809696969696971E-2</v>
      </c>
    </row>
    <row r="86" spans="1:23">
      <c r="A86" s="83" t="s">
        <v>1</v>
      </c>
      <c r="B86" s="9">
        <v>0.3</v>
      </c>
      <c r="C86" s="86">
        <v>1</v>
      </c>
      <c r="D86" s="88">
        <v>1110</v>
      </c>
      <c r="E86" s="10">
        <f t="shared" si="27"/>
        <v>4.1280991735537197E-2</v>
      </c>
      <c r="F86" s="10">
        <f t="shared" si="28"/>
        <v>0.42962809917355371</v>
      </c>
      <c r="G86" s="10">
        <f t="shared" si="29"/>
        <v>29.847685950413222</v>
      </c>
      <c r="H86" s="10">
        <f t="shared" si="30"/>
        <v>2.1466115702479343E-2</v>
      </c>
      <c r="I86" s="10">
        <f t="shared" si="31"/>
        <v>0.19333264462809918</v>
      </c>
      <c r="J86" s="80"/>
      <c r="K86" s="82"/>
      <c r="L86" s="10">
        <f t="shared" si="32"/>
        <v>0</v>
      </c>
      <c r="M86" s="10">
        <f t="shared" si="33"/>
        <v>0</v>
      </c>
      <c r="N86" s="10">
        <f t="shared" si="34"/>
        <v>0</v>
      </c>
      <c r="O86" s="10">
        <f t="shared" si="35"/>
        <v>0</v>
      </c>
      <c r="P86" s="10">
        <f t="shared" si="36"/>
        <v>0</v>
      </c>
      <c r="Q86" s="86">
        <v>1</v>
      </c>
      <c r="R86" s="88">
        <v>4768</v>
      </c>
      <c r="S86" s="10">
        <f t="shared" si="37"/>
        <v>4.4877869605142333E-2</v>
      </c>
      <c r="T86" s="10">
        <f t="shared" si="38"/>
        <v>1.1022442607897154</v>
      </c>
      <c r="U86" s="10">
        <f t="shared" si="39"/>
        <v>19.242754820936639</v>
      </c>
      <c r="V86" s="10">
        <f t="shared" si="40"/>
        <v>1.34633608815427E-3</v>
      </c>
      <c r="W86" s="10">
        <f t="shared" si="41"/>
        <v>6.6134655647382926E-2</v>
      </c>
    </row>
    <row r="87" spans="1:23">
      <c r="A87" s="83" t="s">
        <v>101</v>
      </c>
      <c r="B87" s="9">
        <v>0.2</v>
      </c>
      <c r="C87" s="86"/>
      <c r="D87" s="87"/>
      <c r="E87" s="10">
        <f t="shared" si="27"/>
        <v>0</v>
      </c>
      <c r="F87" s="10">
        <f t="shared" si="28"/>
        <v>0</v>
      </c>
      <c r="G87" s="10">
        <f t="shared" si="29"/>
        <v>0</v>
      </c>
      <c r="H87" s="10">
        <f t="shared" si="30"/>
        <v>0</v>
      </c>
      <c r="I87" s="10">
        <f t="shared" si="31"/>
        <v>0</v>
      </c>
      <c r="J87" s="80"/>
      <c r="K87" s="81"/>
      <c r="L87" s="10">
        <f t="shared" si="32"/>
        <v>0</v>
      </c>
      <c r="M87" s="10">
        <f t="shared" si="33"/>
        <v>0</v>
      </c>
      <c r="N87" s="10">
        <f t="shared" si="34"/>
        <v>0</v>
      </c>
      <c r="O87" s="10">
        <f t="shared" si="35"/>
        <v>0</v>
      </c>
      <c r="P87" s="10">
        <f t="shared" si="36"/>
        <v>0</v>
      </c>
      <c r="Q87" s="86">
        <v>1</v>
      </c>
      <c r="R87" s="87">
        <v>4000</v>
      </c>
      <c r="S87" s="10">
        <f t="shared" si="37"/>
        <v>3.7649219467401282E-2</v>
      </c>
      <c r="T87" s="10">
        <f t="shared" si="38"/>
        <v>0.92470156106519741</v>
      </c>
      <c r="U87" s="10">
        <f t="shared" si="39"/>
        <v>16.143250688705233</v>
      </c>
      <c r="V87" s="10">
        <f t="shared" si="40"/>
        <v>1.1294765840220383E-3</v>
      </c>
      <c r="W87" s="10">
        <f t="shared" si="41"/>
        <v>5.5482093663911845E-2</v>
      </c>
    </row>
    <row r="88" spans="1:23">
      <c r="A88" s="83" t="s">
        <v>10</v>
      </c>
      <c r="B88" s="9">
        <v>0.4</v>
      </c>
      <c r="C88" s="86">
        <v>1</v>
      </c>
      <c r="D88" s="88">
        <v>1164</v>
      </c>
      <c r="E88" s="10">
        <f t="shared" si="27"/>
        <v>4.3289256198347115E-2</v>
      </c>
      <c r="F88" s="10">
        <f t="shared" si="28"/>
        <v>0.45052892561983471</v>
      </c>
      <c r="G88" s="10">
        <f t="shared" si="29"/>
        <v>31.299735537190081</v>
      </c>
      <c r="H88" s="10">
        <f t="shared" si="30"/>
        <v>2.2510413223140499E-2</v>
      </c>
      <c r="I88" s="10">
        <f t="shared" si="31"/>
        <v>0.20273801652892562</v>
      </c>
      <c r="J88" s="80"/>
      <c r="K88" s="82"/>
      <c r="L88" s="10">
        <f t="shared" si="32"/>
        <v>0</v>
      </c>
      <c r="M88" s="10">
        <f t="shared" si="33"/>
        <v>0</v>
      </c>
      <c r="N88" s="10">
        <f t="shared" si="34"/>
        <v>0</v>
      </c>
      <c r="O88" s="10">
        <f t="shared" si="35"/>
        <v>0</v>
      </c>
      <c r="P88" s="10">
        <f t="shared" si="36"/>
        <v>0</v>
      </c>
      <c r="Q88" s="86">
        <v>1</v>
      </c>
      <c r="R88" s="88">
        <v>12304</v>
      </c>
      <c r="S88" s="10">
        <f t="shared" si="37"/>
        <v>0.11580899908172634</v>
      </c>
      <c r="T88" s="10">
        <f t="shared" si="38"/>
        <v>2.8443820018365473</v>
      </c>
      <c r="U88" s="10">
        <f t="shared" si="39"/>
        <v>49.656639118457299</v>
      </c>
      <c r="V88" s="10">
        <f t="shared" si="40"/>
        <v>3.47426997245179E-3</v>
      </c>
      <c r="W88" s="10">
        <f t="shared" si="41"/>
        <v>0.17066292011019282</v>
      </c>
    </row>
    <row r="89" spans="1:23">
      <c r="A89" s="83" t="s">
        <v>144</v>
      </c>
      <c r="B89" s="9">
        <v>0.3</v>
      </c>
      <c r="C89" s="86">
        <v>1</v>
      </c>
      <c r="D89" s="87">
        <v>501</v>
      </c>
      <c r="E89" s="10">
        <f t="shared" si="27"/>
        <v>1.8632231404958677E-2</v>
      </c>
      <c r="F89" s="10">
        <f t="shared" si="28"/>
        <v>0.19391322314049586</v>
      </c>
      <c r="G89" s="10">
        <f t="shared" si="29"/>
        <v>13.47179338842975</v>
      </c>
      <c r="H89" s="10">
        <f t="shared" si="30"/>
        <v>9.6887603305785119E-3</v>
      </c>
      <c r="I89" s="10">
        <f t="shared" si="31"/>
        <v>8.726095041322314E-2</v>
      </c>
      <c r="J89" s="80">
        <v>1</v>
      </c>
      <c r="K89" s="81">
        <v>255.5</v>
      </c>
      <c r="L89" s="10">
        <f t="shared" si="32"/>
        <v>9.5020661157024806E-3</v>
      </c>
      <c r="M89" s="10">
        <f t="shared" si="33"/>
        <v>9.8891873278236925E-2</v>
      </c>
      <c r="N89" s="10">
        <f t="shared" si="34"/>
        <v>6.8703457300275481</v>
      </c>
      <c r="O89" s="10">
        <f t="shared" si="35"/>
        <v>3.1356818181818187E-3</v>
      </c>
      <c r="P89" s="10">
        <f t="shared" si="36"/>
        <v>2.7689724517906342E-2</v>
      </c>
      <c r="Q89" s="86">
        <v>1</v>
      </c>
      <c r="R89" s="87">
        <v>600</v>
      </c>
      <c r="S89" s="10">
        <f t="shared" si="37"/>
        <v>5.6473829201101923E-3</v>
      </c>
      <c r="T89" s="10">
        <f t="shared" si="38"/>
        <v>0.13870523415977962</v>
      </c>
      <c r="U89" s="10">
        <f t="shared" si="39"/>
        <v>2.4214876033057853</v>
      </c>
      <c r="V89" s="10">
        <f t="shared" si="40"/>
        <v>1.6942148760330577E-4</v>
      </c>
      <c r="W89" s="10">
        <f t="shared" si="41"/>
        <v>8.3223140495867765E-3</v>
      </c>
    </row>
    <row r="90" spans="1:23">
      <c r="A90" s="83" t="s">
        <v>145</v>
      </c>
      <c r="B90" s="9">
        <v>0.3</v>
      </c>
      <c r="C90" s="86">
        <v>1</v>
      </c>
      <c r="D90" s="87">
        <v>501</v>
      </c>
      <c r="E90" s="10">
        <f t="shared" si="27"/>
        <v>1.8632231404958677E-2</v>
      </c>
      <c r="F90" s="10">
        <f t="shared" si="28"/>
        <v>0.19391322314049586</v>
      </c>
      <c r="G90" s="10">
        <f t="shared" si="29"/>
        <v>13.47179338842975</v>
      </c>
      <c r="H90" s="10">
        <f t="shared" si="30"/>
        <v>9.6887603305785119E-3</v>
      </c>
      <c r="I90" s="10">
        <f t="shared" si="31"/>
        <v>8.726095041322314E-2</v>
      </c>
      <c r="J90" s="80">
        <v>1</v>
      </c>
      <c r="K90" s="81">
        <v>255.5</v>
      </c>
      <c r="L90" s="10">
        <f t="shared" si="32"/>
        <v>9.5020661157024806E-3</v>
      </c>
      <c r="M90" s="10">
        <f t="shared" si="33"/>
        <v>9.8891873278236925E-2</v>
      </c>
      <c r="N90" s="10">
        <f t="shared" si="34"/>
        <v>6.8703457300275481</v>
      </c>
      <c r="O90" s="10">
        <f t="shared" si="35"/>
        <v>3.1356818181818187E-3</v>
      </c>
      <c r="P90" s="10">
        <f t="shared" si="36"/>
        <v>2.7689724517906342E-2</v>
      </c>
      <c r="Q90" s="86">
        <v>1</v>
      </c>
      <c r="R90" s="87">
        <v>600</v>
      </c>
      <c r="S90" s="10">
        <f t="shared" si="37"/>
        <v>5.6473829201101923E-3</v>
      </c>
      <c r="T90" s="10">
        <f t="shared" si="38"/>
        <v>0.13870523415977962</v>
      </c>
      <c r="U90" s="10">
        <f t="shared" si="39"/>
        <v>2.4214876033057853</v>
      </c>
      <c r="V90" s="10">
        <f t="shared" si="40"/>
        <v>1.6942148760330577E-4</v>
      </c>
      <c r="W90" s="10">
        <f t="shared" si="41"/>
        <v>8.3223140495867765E-3</v>
      </c>
    </row>
    <row r="91" spans="1:23">
      <c r="A91" s="83" t="s">
        <v>143</v>
      </c>
      <c r="B91" s="9">
        <v>0.3</v>
      </c>
      <c r="C91" s="86">
        <v>1</v>
      </c>
      <c r="D91" s="87">
        <v>501</v>
      </c>
      <c r="E91" s="10">
        <f t="shared" si="27"/>
        <v>1.8632231404958677E-2</v>
      </c>
      <c r="F91" s="10">
        <f t="shared" si="28"/>
        <v>0.19391322314049586</v>
      </c>
      <c r="G91" s="10">
        <f t="shared" si="29"/>
        <v>13.47179338842975</v>
      </c>
      <c r="H91" s="10">
        <f t="shared" si="30"/>
        <v>9.6887603305785119E-3</v>
      </c>
      <c r="I91" s="10">
        <f t="shared" si="31"/>
        <v>8.726095041322314E-2</v>
      </c>
      <c r="J91" s="80">
        <v>1</v>
      </c>
      <c r="K91" s="81">
        <v>255.5</v>
      </c>
      <c r="L91" s="10">
        <f t="shared" si="32"/>
        <v>9.5020661157024806E-3</v>
      </c>
      <c r="M91" s="10">
        <f t="shared" si="33"/>
        <v>9.8891873278236925E-2</v>
      </c>
      <c r="N91" s="10">
        <f t="shared" si="34"/>
        <v>6.8703457300275481</v>
      </c>
      <c r="O91" s="10">
        <f t="shared" si="35"/>
        <v>3.1356818181818187E-3</v>
      </c>
      <c r="P91" s="10">
        <f t="shared" si="36"/>
        <v>2.7689724517906342E-2</v>
      </c>
      <c r="Q91" s="86">
        <v>1</v>
      </c>
      <c r="R91" s="87">
        <v>600</v>
      </c>
      <c r="S91" s="10">
        <f t="shared" si="37"/>
        <v>5.6473829201101923E-3</v>
      </c>
      <c r="T91" s="10">
        <f t="shared" si="38"/>
        <v>0.13870523415977962</v>
      </c>
      <c r="U91" s="10">
        <f t="shared" si="39"/>
        <v>2.4214876033057853</v>
      </c>
      <c r="V91" s="10">
        <f t="shared" si="40"/>
        <v>1.6942148760330577E-4</v>
      </c>
      <c r="W91" s="10">
        <f t="shared" si="41"/>
        <v>8.3223140495867765E-3</v>
      </c>
    </row>
    <row r="92" spans="1:23">
      <c r="A92" s="83" t="s">
        <v>59</v>
      </c>
      <c r="B92" s="9">
        <v>0.3</v>
      </c>
      <c r="C92" s="86">
        <v>1</v>
      </c>
      <c r="D92" s="87">
        <v>750</v>
      </c>
      <c r="E92" s="10">
        <f t="shared" si="27"/>
        <v>2.7892561983471079E-2</v>
      </c>
      <c r="F92" s="10">
        <f t="shared" si="28"/>
        <v>0.29028925619834711</v>
      </c>
      <c r="G92" s="10">
        <f t="shared" si="29"/>
        <v>20.167355371900825</v>
      </c>
      <c r="H92" s="10">
        <f t="shared" si="30"/>
        <v>1.4504132231404961E-2</v>
      </c>
      <c r="I92" s="10">
        <f t="shared" si="31"/>
        <v>0.13063016528925619</v>
      </c>
      <c r="J92" s="80"/>
      <c r="K92" s="81"/>
      <c r="L92" s="10">
        <f t="shared" si="32"/>
        <v>0</v>
      </c>
      <c r="M92" s="10">
        <f t="shared" si="33"/>
        <v>0</v>
      </c>
      <c r="N92" s="10">
        <f t="shared" si="34"/>
        <v>0</v>
      </c>
      <c r="O92" s="10">
        <f t="shared" si="35"/>
        <v>0</v>
      </c>
      <c r="P92" s="10">
        <f t="shared" si="36"/>
        <v>0</v>
      </c>
      <c r="Q92" s="86">
        <v>1</v>
      </c>
      <c r="R92" s="87">
        <v>2900</v>
      </c>
      <c r="S92" s="10">
        <f t="shared" si="37"/>
        <v>2.7295684113865928E-2</v>
      </c>
      <c r="T92" s="10">
        <f t="shared" si="38"/>
        <v>0.67040863177226817</v>
      </c>
      <c r="U92" s="10">
        <f t="shared" si="39"/>
        <v>11.703856749311296</v>
      </c>
      <c r="V92" s="10">
        <f t="shared" si="40"/>
        <v>8.1887052341597785E-4</v>
      </c>
      <c r="W92" s="10">
        <f t="shared" si="41"/>
        <v>4.0224517906336091E-2</v>
      </c>
    </row>
    <row r="93" spans="1:23">
      <c r="A93" s="83" t="s">
        <v>28</v>
      </c>
      <c r="B93" s="9">
        <v>0.2</v>
      </c>
      <c r="C93" s="86">
        <v>1</v>
      </c>
      <c r="D93" s="88">
        <v>650</v>
      </c>
      <c r="E93" s="10">
        <f t="shared" si="27"/>
        <v>2.4173553719008267E-2</v>
      </c>
      <c r="F93" s="10">
        <f t="shared" si="28"/>
        <v>0.25158402203856745</v>
      </c>
      <c r="G93" s="10">
        <f t="shared" si="29"/>
        <v>17.478374655647382</v>
      </c>
      <c r="H93" s="10">
        <f t="shared" si="30"/>
        <v>1.2570247933884299E-2</v>
      </c>
      <c r="I93" s="10">
        <f t="shared" si="31"/>
        <v>0.11321280991735536</v>
      </c>
      <c r="J93" s="80"/>
      <c r="K93" s="82"/>
      <c r="L93" s="10">
        <f t="shared" si="32"/>
        <v>0</v>
      </c>
      <c r="M93" s="10">
        <f t="shared" si="33"/>
        <v>0</v>
      </c>
      <c r="N93" s="10">
        <f t="shared" si="34"/>
        <v>0</v>
      </c>
      <c r="O93" s="10">
        <f t="shared" si="35"/>
        <v>0</v>
      </c>
      <c r="P93" s="10">
        <f t="shared" si="36"/>
        <v>0</v>
      </c>
      <c r="Q93" s="86"/>
      <c r="R93" s="88"/>
      <c r="S93" s="10">
        <f t="shared" si="37"/>
        <v>0</v>
      </c>
      <c r="T93" s="10">
        <f t="shared" si="38"/>
        <v>0</v>
      </c>
      <c r="U93" s="10">
        <f t="shared" si="39"/>
        <v>0</v>
      </c>
      <c r="V93" s="10">
        <f t="shared" si="40"/>
        <v>0</v>
      </c>
      <c r="W93" s="10">
        <f t="shared" si="41"/>
        <v>0</v>
      </c>
    </row>
    <row r="94" spans="1:23">
      <c r="A94" s="83" t="s">
        <v>53</v>
      </c>
      <c r="B94" s="9">
        <v>0.5</v>
      </c>
      <c r="C94" s="86">
        <v>1</v>
      </c>
      <c r="D94" s="87">
        <v>1789</v>
      </c>
      <c r="E94" s="10">
        <f t="shared" si="27"/>
        <v>6.6533057851239669E-2</v>
      </c>
      <c r="F94" s="10">
        <f t="shared" si="28"/>
        <v>0.69243663911845732</v>
      </c>
      <c r="G94" s="10">
        <f t="shared" si="29"/>
        <v>48.1058650137741</v>
      </c>
      <c r="H94" s="10">
        <f t="shared" si="30"/>
        <v>3.4597190082644627E-2</v>
      </c>
      <c r="I94" s="10">
        <f t="shared" si="31"/>
        <v>0.31159648760330583</v>
      </c>
      <c r="J94" s="80"/>
      <c r="K94" s="81"/>
      <c r="L94" s="10">
        <f t="shared" si="32"/>
        <v>0</v>
      </c>
      <c r="M94" s="10">
        <f t="shared" si="33"/>
        <v>0</v>
      </c>
      <c r="N94" s="10">
        <f t="shared" si="34"/>
        <v>0</v>
      </c>
      <c r="O94" s="10">
        <f t="shared" si="35"/>
        <v>0</v>
      </c>
      <c r="P94" s="10">
        <f t="shared" si="36"/>
        <v>0</v>
      </c>
      <c r="Q94" s="86">
        <v>1</v>
      </c>
      <c r="R94" s="87">
        <v>13222</v>
      </c>
      <c r="S94" s="10">
        <f t="shared" si="37"/>
        <v>0.12444949494949495</v>
      </c>
      <c r="T94" s="10">
        <f t="shared" si="38"/>
        <v>3.0566010101010104</v>
      </c>
      <c r="U94" s="10">
        <f t="shared" si="39"/>
        <v>53.361515151515157</v>
      </c>
      <c r="V94" s="10">
        <f t="shared" si="40"/>
        <v>3.7334848484848484E-3</v>
      </c>
      <c r="W94" s="10">
        <f t="shared" si="41"/>
        <v>0.18339606060606062</v>
      </c>
    </row>
    <row r="95" spans="1:23">
      <c r="A95" s="83" t="s">
        <v>72</v>
      </c>
      <c r="B95" s="9">
        <v>0.4</v>
      </c>
      <c r="C95" s="86"/>
      <c r="D95" s="87"/>
      <c r="E95" s="10">
        <f t="shared" si="27"/>
        <v>0</v>
      </c>
      <c r="F95" s="10">
        <f t="shared" si="28"/>
        <v>0</v>
      </c>
      <c r="G95" s="10">
        <f t="shared" si="29"/>
        <v>0</v>
      </c>
      <c r="H95" s="10">
        <f t="shared" si="30"/>
        <v>0</v>
      </c>
      <c r="I95" s="10">
        <f t="shared" si="31"/>
        <v>0</v>
      </c>
      <c r="J95" s="80"/>
      <c r="K95" s="81"/>
      <c r="L95" s="10">
        <f t="shared" si="32"/>
        <v>0</v>
      </c>
      <c r="M95" s="10">
        <f t="shared" si="33"/>
        <v>0</v>
      </c>
      <c r="N95" s="10">
        <f t="shared" si="34"/>
        <v>0</v>
      </c>
      <c r="O95" s="10">
        <f t="shared" si="35"/>
        <v>0</v>
      </c>
      <c r="P95" s="10">
        <f t="shared" si="36"/>
        <v>0</v>
      </c>
      <c r="Q95" s="86">
        <v>1</v>
      </c>
      <c r="R95" s="87">
        <v>460</v>
      </c>
      <c r="S95" s="10">
        <f t="shared" si="37"/>
        <v>4.3296602387511473E-3</v>
      </c>
      <c r="T95" s="10">
        <f t="shared" si="38"/>
        <v>0.10634067952249771</v>
      </c>
      <c r="U95" s="10">
        <f t="shared" si="39"/>
        <v>1.856473829201102</v>
      </c>
      <c r="V95" s="10">
        <f t="shared" si="40"/>
        <v>1.298898071625344E-4</v>
      </c>
      <c r="W95" s="10">
        <f t="shared" si="41"/>
        <v>6.3804407713498618E-3</v>
      </c>
    </row>
    <row r="96" spans="1:23">
      <c r="A96" s="83" t="s">
        <v>77</v>
      </c>
      <c r="B96" s="9">
        <v>0.5</v>
      </c>
      <c r="C96" s="86">
        <v>1</v>
      </c>
      <c r="D96" s="87">
        <v>3400</v>
      </c>
      <c r="E96" s="10">
        <f t="shared" si="27"/>
        <v>0.12644628099173555</v>
      </c>
      <c r="F96" s="10">
        <f t="shared" si="28"/>
        <v>1.3159779614325069</v>
      </c>
      <c r="G96" s="10">
        <f t="shared" si="29"/>
        <v>91.425344352617088</v>
      </c>
      <c r="H96" s="10">
        <f t="shared" si="30"/>
        <v>6.5752066115702487E-2</v>
      </c>
      <c r="I96" s="10">
        <f t="shared" si="31"/>
        <v>0.59219008264462814</v>
      </c>
      <c r="J96" s="80"/>
      <c r="K96" s="81"/>
      <c r="L96" s="10">
        <f t="shared" si="32"/>
        <v>0</v>
      </c>
      <c r="M96" s="10">
        <f t="shared" si="33"/>
        <v>0</v>
      </c>
      <c r="N96" s="10">
        <f t="shared" si="34"/>
        <v>0</v>
      </c>
      <c r="O96" s="10">
        <f t="shared" si="35"/>
        <v>0</v>
      </c>
      <c r="P96" s="10">
        <f t="shared" si="36"/>
        <v>0</v>
      </c>
      <c r="Q96" s="86">
        <v>1</v>
      </c>
      <c r="R96" s="87">
        <v>17000</v>
      </c>
      <c r="S96" s="10">
        <f t="shared" si="37"/>
        <v>0.16000918273645545</v>
      </c>
      <c r="T96" s="10">
        <f t="shared" si="38"/>
        <v>3.9299816345270893</v>
      </c>
      <c r="U96" s="10">
        <f t="shared" si="39"/>
        <v>68.608815426997253</v>
      </c>
      <c r="V96" s="10">
        <f t="shared" si="40"/>
        <v>4.8002754820936633E-3</v>
      </c>
      <c r="W96" s="10">
        <f t="shared" si="41"/>
        <v>0.23579889807162535</v>
      </c>
    </row>
    <row r="97" spans="1:23">
      <c r="A97" s="83" t="s">
        <v>73</v>
      </c>
      <c r="B97" s="9">
        <v>0.5</v>
      </c>
      <c r="C97" s="86">
        <v>1</v>
      </c>
      <c r="D97" s="87">
        <v>1304</v>
      </c>
      <c r="E97" s="10">
        <f t="shared" si="27"/>
        <v>4.8495867768595047E-2</v>
      </c>
      <c r="F97" s="10">
        <f t="shared" si="28"/>
        <v>0.50471625344352611</v>
      </c>
      <c r="G97" s="10">
        <f t="shared" si="29"/>
        <v>35.064308539944903</v>
      </c>
      <c r="H97" s="10">
        <f t="shared" si="30"/>
        <v>2.5217851239669426E-2</v>
      </c>
      <c r="I97" s="10">
        <f t="shared" si="31"/>
        <v>0.22712231404958674</v>
      </c>
      <c r="J97" s="80">
        <v>1</v>
      </c>
      <c r="K97" s="81">
        <v>814</v>
      </c>
      <c r="L97" s="10">
        <f t="shared" si="32"/>
        <v>3.0272727272727274E-2</v>
      </c>
      <c r="M97" s="10">
        <f t="shared" si="33"/>
        <v>0.31506060606060604</v>
      </c>
      <c r="N97" s="10">
        <f t="shared" si="34"/>
        <v>21.888303030303028</v>
      </c>
      <c r="O97" s="10">
        <f t="shared" si="35"/>
        <v>9.9900000000000006E-3</v>
      </c>
      <c r="P97" s="10">
        <f t="shared" si="36"/>
        <v>8.8216969696969696E-2</v>
      </c>
      <c r="Q97" s="86">
        <v>1</v>
      </c>
      <c r="R97" s="87">
        <v>17403</v>
      </c>
      <c r="S97" s="10">
        <f t="shared" si="37"/>
        <v>0.16380234159779614</v>
      </c>
      <c r="T97" s="10">
        <f t="shared" si="38"/>
        <v>4.023145316804408</v>
      </c>
      <c r="U97" s="10">
        <f t="shared" si="39"/>
        <v>70.235247933884295</v>
      </c>
      <c r="V97" s="10">
        <f t="shared" si="40"/>
        <v>4.9140702479338839E-3</v>
      </c>
      <c r="W97" s="10">
        <f t="shared" si="41"/>
        <v>0.24138871900826447</v>
      </c>
    </row>
    <row r="98" spans="1:23">
      <c r="A98" s="83" t="s">
        <v>102</v>
      </c>
      <c r="B98" s="9">
        <v>0.2</v>
      </c>
      <c r="C98" s="86"/>
      <c r="D98" s="87"/>
      <c r="E98" s="10">
        <f t="shared" ref="E98:E129" si="42">(D98/43560)*1.62</f>
        <v>0</v>
      </c>
      <c r="F98" s="10">
        <f t="shared" ref="F98:F129" si="43">(D98/43560)*16.86</f>
        <v>0</v>
      </c>
      <c r="G98" s="10">
        <f t="shared" ref="G98:G129" si="44">(D98/43560)*1171.32</f>
        <v>0</v>
      </c>
      <c r="H98" s="10">
        <f t="shared" ref="H98:H129" si="45">E98*0.52</f>
        <v>0</v>
      </c>
      <c r="I98" s="10">
        <f t="shared" ref="I98:I146" si="46">F98*0.45</f>
        <v>0</v>
      </c>
      <c r="J98" s="80"/>
      <c r="K98" s="81"/>
      <c r="L98" s="10">
        <f t="shared" ref="L98:L129" si="47">(K98/43560)*1.62</f>
        <v>0</v>
      </c>
      <c r="M98" s="10">
        <f t="shared" ref="M98:M129" si="48">(K98/43560)*16.86</f>
        <v>0</v>
      </c>
      <c r="N98" s="10">
        <f t="shared" ref="N98:N129" si="49">(K98/43560)*1171.32</f>
        <v>0</v>
      </c>
      <c r="O98" s="10">
        <f t="shared" ref="O98:O129" si="50">L98*0.33</f>
        <v>0</v>
      </c>
      <c r="P98" s="10">
        <f t="shared" ref="P98:P129" si="51">M98*0.28</f>
        <v>0</v>
      </c>
      <c r="Q98" s="86">
        <v>1</v>
      </c>
      <c r="R98" s="87">
        <v>5300</v>
      </c>
      <c r="S98" s="10">
        <f t="shared" si="37"/>
        <v>4.98852157943067E-2</v>
      </c>
      <c r="T98" s="10">
        <f t="shared" si="38"/>
        <v>1.2252295684113865</v>
      </c>
      <c r="U98" s="10">
        <f t="shared" si="39"/>
        <v>21.389807162534435</v>
      </c>
      <c r="V98" s="10">
        <f t="shared" ref="V98:V129" si="52">S98*0.03</f>
        <v>1.4965564738292009E-3</v>
      </c>
      <c r="W98" s="10">
        <f t="shared" ref="W98:W129" si="53">T98*0.06</f>
        <v>7.3513774104683183E-2</v>
      </c>
    </row>
    <row r="99" spans="1:23">
      <c r="A99" s="83" t="s">
        <v>31</v>
      </c>
      <c r="B99" s="9">
        <v>0.4</v>
      </c>
      <c r="C99" s="86"/>
      <c r="D99" s="88"/>
      <c r="E99" s="10">
        <f t="shared" si="42"/>
        <v>0</v>
      </c>
      <c r="F99" s="10">
        <f t="shared" si="43"/>
        <v>0</v>
      </c>
      <c r="G99" s="10">
        <f t="shared" si="44"/>
        <v>0</v>
      </c>
      <c r="H99" s="10">
        <f t="shared" si="45"/>
        <v>0</v>
      </c>
      <c r="I99" s="10">
        <f t="shared" si="46"/>
        <v>0</v>
      </c>
      <c r="J99" s="80">
        <v>1</v>
      </c>
      <c r="K99" s="82">
        <v>718.3</v>
      </c>
      <c r="L99" s="10">
        <f t="shared" si="47"/>
        <v>2.6713636363636363E-2</v>
      </c>
      <c r="M99" s="10">
        <f t="shared" si="48"/>
        <v>0.27801969696969692</v>
      </c>
      <c r="N99" s="10">
        <f t="shared" si="49"/>
        <v>19.314948484848482</v>
      </c>
      <c r="O99" s="10">
        <f t="shared" si="50"/>
        <v>8.8155000000000004E-3</v>
      </c>
      <c r="P99" s="10">
        <f t="shared" si="51"/>
        <v>7.7845515151515138E-2</v>
      </c>
      <c r="Q99" s="86">
        <v>1</v>
      </c>
      <c r="R99" s="88">
        <v>5497</v>
      </c>
      <c r="S99" s="10">
        <f t="shared" si="37"/>
        <v>5.1739439853076219E-2</v>
      </c>
      <c r="T99" s="10">
        <f t="shared" si="38"/>
        <v>1.2707711202938476</v>
      </c>
      <c r="U99" s="10">
        <f t="shared" si="39"/>
        <v>22.184862258953171</v>
      </c>
      <c r="V99" s="10">
        <f t="shared" si="52"/>
        <v>1.5521831955922865E-3</v>
      </c>
      <c r="W99" s="10">
        <f t="shared" si="53"/>
        <v>7.624626721763085E-2</v>
      </c>
    </row>
    <row r="100" spans="1:23">
      <c r="A100" s="83" t="s">
        <v>2</v>
      </c>
      <c r="B100" s="9">
        <v>0.5</v>
      </c>
      <c r="C100" s="86">
        <v>1</v>
      </c>
      <c r="D100" s="88">
        <v>1070</v>
      </c>
      <c r="E100" s="10">
        <f t="shared" si="42"/>
        <v>3.9793388429752066E-2</v>
      </c>
      <c r="F100" s="10">
        <f t="shared" si="43"/>
        <v>0.41414600550964187</v>
      </c>
      <c r="G100" s="10">
        <f t="shared" si="44"/>
        <v>28.772093663911843</v>
      </c>
      <c r="H100" s="10">
        <f t="shared" si="45"/>
        <v>2.0692561983471074E-2</v>
      </c>
      <c r="I100" s="10">
        <f t="shared" si="46"/>
        <v>0.18636570247933884</v>
      </c>
      <c r="J100" s="80">
        <v>1</v>
      </c>
      <c r="K100" s="82">
        <v>1070</v>
      </c>
      <c r="L100" s="10">
        <f t="shared" si="47"/>
        <v>3.9793388429752066E-2</v>
      </c>
      <c r="M100" s="10">
        <f t="shared" si="48"/>
        <v>0.41414600550964187</v>
      </c>
      <c r="N100" s="10">
        <f t="shared" si="49"/>
        <v>28.772093663911843</v>
      </c>
      <c r="O100" s="10">
        <f t="shared" si="50"/>
        <v>1.3131818181818182E-2</v>
      </c>
      <c r="P100" s="10">
        <f t="shared" si="51"/>
        <v>0.11596088154269973</v>
      </c>
      <c r="Q100" s="86">
        <v>1</v>
      </c>
      <c r="R100" s="88">
        <v>10300</v>
      </c>
      <c r="S100" s="10">
        <f t="shared" si="37"/>
        <v>9.6946740128558306E-2</v>
      </c>
      <c r="T100" s="10">
        <f t="shared" si="38"/>
        <v>2.3811065197428833</v>
      </c>
      <c r="U100" s="10">
        <f t="shared" si="39"/>
        <v>41.568870523415981</v>
      </c>
      <c r="V100" s="10">
        <f t="shared" si="52"/>
        <v>2.9084022038567492E-3</v>
      </c>
      <c r="W100" s="10">
        <f t="shared" si="53"/>
        <v>0.14286639118457301</v>
      </c>
    </row>
    <row r="101" spans="1:23">
      <c r="A101" s="83" t="s">
        <v>128</v>
      </c>
      <c r="B101" s="9">
        <v>0.2</v>
      </c>
      <c r="C101" s="86"/>
      <c r="D101" s="87"/>
      <c r="E101" s="10">
        <f t="shared" si="42"/>
        <v>0</v>
      </c>
      <c r="F101" s="10">
        <f t="shared" si="43"/>
        <v>0</v>
      </c>
      <c r="G101" s="10">
        <f t="shared" si="44"/>
        <v>0</v>
      </c>
      <c r="H101" s="10">
        <f t="shared" si="45"/>
        <v>0</v>
      </c>
      <c r="I101" s="10">
        <f t="shared" si="46"/>
        <v>0</v>
      </c>
      <c r="J101" s="80"/>
      <c r="K101" s="81"/>
      <c r="L101" s="10">
        <f t="shared" si="47"/>
        <v>0</v>
      </c>
      <c r="M101" s="10">
        <f t="shared" si="48"/>
        <v>0</v>
      </c>
      <c r="N101" s="10">
        <f t="shared" si="49"/>
        <v>0</v>
      </c>
      <c r="O101" s="10">
        <f t="shared" si="50"/>
        <v>0</v>
      </c>
      <c r="P101" s="10">
        <f t="shared" si="51"/>
        <v>0</v>
      </c>
      <c r="Q101" s="86">
        <v>1</v>
      </c>
      <c r="R101" s="87">
        <v>14000</v>
      </c>
      <c r="S101" s="10">
        <f t="shared" si="37"/>
        <v>0.13177226813590448</v>
      </c>
      <c r="T101" s="10">
        <f t="shared" si="38"/>
        <v>3.2364554637281908</v>
      </c>
      <c r="U101" s="10">
        <f t="shared" si="39"/>
        <v>56.501377410468322</v>
      </c>
      <c r="V101" s="10">
        <f t="shared" si="52"/>
        <v>3.9531680440771343E-3</v>
      </c>
      <c r="W101" s="10">
        <f t="shared" si="53"/>
        <v>0.19418732782369144</v>
      </c>
    </row>
    <row r="102" spans="1:23">
      <c r="A102" s="83" t="s">
        <v>14</v>
      </c>
      <c r="B102" s="9">
        <v>0.3</v>
      </c>
      <c r="C102" s="86">
        <v>1</v>
      </c>
      <c r="D102" s="88">
        <v>3352</v>
      </c>
      <c r="E102" s="10">
        <f t="shared" si="42"/>
        <v>0.1246611570247934</v>
      </c>
      <c r="F102" s="10">
        <f t="shared" si="43"/>
        <v>1.2973994490358125</v>
      </c>
      <c r="G102" s="10">
        <f t="shared" si="44"/>
        <v>90.13463360881542</v>
      </c>
      <c r="H102" s="10">
        <f t="shared" si="45"/>
        <v>6.4823801652892574E-2</v>
      </c>
      <c r="I102" s="10">
        <f t="shared" si="46"/>
        <v>0.58382975206611565</v>
      </c>
      <c r="J102" s="80"/>
      <c r="K102" s="82"/>
      <c r="L102" s="10">
        <f t="shared" si="47"/>
        <v>0</v>
      </c>
      <c r="M102" s="10">
        <f t="shared" si="48"/>
        <v>0</v>
      </c>
      <c r="N102" s="10">
        <f t="shared" si="49"/>
        <v>0</v>
      </c>
      <c r="O102" s="10">
        <f t="shared" si="50"/>
        <v>0</v>
      </c>
      <c r="P102" s="10">
        <f t="shared" si="51"/>
        <v>0</v>
      </c>
      <c r="Q102" s="86">
        <v>1</v>
      </c>
      <c r="R102" s="88">
        <v>11625.2</v>
      </c>
      <c r="S102" s="10">
        <f t="shared" si="37"/>
        <v>0.10941992653810836</v>
      </c>
      <c r="T102" s="10">
        <f t="shared" si="38"/>
        <v>2.6874601469237835</v>
      </c>
      <c r="U102" s="10">
        <f t="shared" si="39"/>
        <v>46.91712947658403</v>
      </c>
      <c r="V102" s="10">
        <f t="shared" si="52"/>
        <v>3.2825977961432507E-3</v>
      </c>
      <c r="W102" s="10">
        <f t="shared" si="53"/>
        <v>0.16124760881542702</v>
      </c>
    </row>
    <row r="103" spans="1:23">
      <c r="A103" s="83" t="s">
        <v>135</v>
      </c>
      <c r="B103" s="9">
        <v>0.5</v>
      </c>
      <c r="C103" s="86">
        <v>1</v>
      </c>
      <c r="D103" s="87">
        <v>2000</v>
      </c>
      <c r="E103" s="10">
        <f t="shared" si="42"/>
        <v>7.43801652892562E-2</v>
      </c>
      <c r="F103" s="10">
        <f t="shared" si="43"/>
        <v>0.77410468319559222</v>
      </c>
      <c r="G103" s="10">
        <f t="shared" si="44"/>
        <v>53.779614325068863</v>
      </c>
      <c r="H103" s="10">
        <f t="shared" si="45"/>
        <v>3.8677685950413224E-2</v>
      </c>
      <c r="I103" s="10">
        <f t="shared" si="46"/>
        <v>0.3483471074380165</v>
      </c>
      <c r="J103" s="80">
        <v>1</v>
      </c>
      <c r="K103" s="81">
        <v>1560</v>
      </c>
      <c r="L103" s="10">
        <f t="shared" si="47"/>
        <v>5.8016528925619842E-2</v>
      </c>
      <c r="M103" s="10">
        <f t="shared" si="48"/>
        <v>0.60380165289256194</v>
      </c>
      <c r="N103" s="10">
        <f t="shared" si="49"/>
        <v>41.948099173553715</v>
      </c>
      <c r="O103" s="10">
        <f t="shared" si="50"/>
        <v>1.9145454545454549E-2</v>
      </c>
      <c r="P103" s="10">
        <f t="shared" si="51"/>
        <v>0.16906446280991735</v>
      </c>
      <c r="Q103" s="86"/>
      <c r="R103" s="87"/>
      <c r="S103" s="10">
        <f t="shared" si="37"/>
        <v>0</v>
      </c>
      <c r="T103" s="10">
        <f t="shared" si="38"/>
        <v>0</v>
      </c>
      <c r="U103" s="10">
        <f t="shared" si="39"/>
        <v>0</v>
      </c>
      <c r="V103" s="10">
        <f t="shared" si="52"/>
        <v>0</v>
      </c>
      <c r="W103" s="10">
        <f t="shared" si="53"/>
        <v>0</v>
      </c>
    </row>
    <row r="104" spans="1:23">
      <c r="A104" s="83" t="s">
        <v>129</v>
      </c>
      <c r="B104" s="9">
        <v>0.2</v>
      </c>
      <c r="C104" s="86"/>
      <c r="D104" s="87"/>
      <c r="E104" s="10">
        <f t="shared" si="42"/>
        <v>0</v>
      </c>
      <c r="F104" s="10">
        <f t="shared" si="43"/>
        <v>0</v>
      </c>
      <c r="G104" s="10">
        <f t="shared" si="44"/>
        <v>0</v>
      </c>
      <c r="H104" s="10">
        <f t="shared" si="45"/>
        <v>0</v>
      </c>
      <c r="I104" s="10">
        <f t="shared" si="46"/>
        <v>0</v>
      </c>
      <c r="J104" s="80"/>
      <c r="K104" s="81"/>
      <c r="L104" s="10">
        <f t="shared" si="47"/>
        <v>0</v>
      </c>
      <c r="M104" s="10">
        <f t="shared" si="48"/>
        <v>0</v>
      </c>
      <c r="N104" s="10">
        <f t="shared" si="49"/>
        <v>0</v>
      </c>
      <c r="O104" s="10">
        <f t="shared" si="50"/>
        <v>0</v>
      </c>
      <c r="P104" s="10">
        <f t="shared" si="51"/>
        <v>0</v>
      </c>
      <c r="Q104" s="86">
        <v>1</v>
      </c>
      <c r="R104" s="87">
        <v>8250</v>
      </c>
      <c r="S104" s="10">
        <f t="shared" si="37"/>
        <v>7.7651515151515152E-2</v>
      </c>
      <c r="T104" s="10">
        <f t="shared" si="38"/>
        <v>1.9071969696969697</v>
      </c>
      <c r="U104" s="10">
        <f t="shared" si="39"/>
        <v>33.295454545454547</v>
      </c>
      <c r="V104" s="10">
        <f t="shared" si="52"/>
        <v>2.3295454545454544E-3</v>
      </c>
      <c r="W104" s="10">
        <f t="shared" si="53"/>
        <v>0.11443181818181818</v>
      </c>
    </row>
    <row r="105" spans="1:23">
      <c r="A105" s="83" t="s">
        <v>96</v>
      </c>
      <c r="B105" s="9">
        <v>0.3</v>
      </c>
      <c r="C105" s="86">
        <v>1</v>
      </c>
      <c r="D105" s="87">
        <v>1568</v>
      </c>
      <c r="E105" s="10">
        <f t="shared" si="42"/>
        <v>5.8314049586776863E-2</v>
      </c>
      <c r="F105" s="10">
        <f t="shared" si="43"/>
        <v>0.60689807162534426</v>
      </c>
      <c r="G105" s="10">
        <f t="shared" si="44"/>
        <v>42.163217630853993</v>
      </c>
      <c r="H105" s="10">
        <f t="shared" si="45"/>
        <v>3.0323305785123971E-2</v>
      </c>
      <c r="I105" s="10">
        <f t="shared" si="46"/>
        <v>0.27310413223140495</v>
      </c>
      <c r="J105" s="80"/>
      <c r="K105" s="81"/>
      <c r="L105" s="10">
        <f t="shared" si="47"/>
        <v>0</v>
      </c>
      <c r="M105" s="10">
        <f t="shared" si="48"/>
        <v>0</v>
      </c>
      <c r="N105" s="10">
        <f t="shared" si="49"/>
        <v>0</v>
      </c>
      <c r="O105" s="10">
        <f t="shared" si="50"/>
        <v>0</v>
      </c>
      <c r="P105" s="10">
        <f t="shared" si="51"/>
        <v>0</v>
      </c>
      <c r="Q105" s="86"/>
      <c r="R105" s="87"/>
      <c r="S105" s="10">
        <f t="shared" si="37"/>
        <v>0</v>
      </c>
      <c r="T105" s="10">
        <f t="shared" si="38"/>
        <v>0</v>
      </c>
      <c r="U105" s="10">
        <f t="shared" si="39"/>
        <v>0</v>
      </c>
      <c r="V105" s="10">
        <f t="shared" si="52"/>
        <v>0</v>
      </c>
      <c r="W105" s="10">
        <f t="shared" si="53"/>
        <v>0</v>
      </c>
    </row>
    <row r="106" spans="1:23">
      <c r="A106" s="83" t="s">
        <v>112</v>
      </c>
      <c r="B106" s="9">
        <v>0.5</v>
      </c>
      <c r="C106" s="86">
        <v>1</v>
      </c>
      <c r="D106" s="87">
        <v>1693</v>
      </c>
      <c r="E106" s="10">
        <f t="shared" si="42"/>
        <v>6.2962809917355367E-2</v>
      </c>
      <c r="F106" s="10">
        <f t="shared" si="43"/>
        <v>0.65527961432506876</v>
      </c>
      <c r="G106" s="10">
        <f t="shared" si="44"/>
        <v>45.524443526170792</v>
      </c>
      <c r="H106" s="10">
        <f t="shared" si="45"/>
        <v>3.2740661157024793E-2</v>
      </c>
      <c r="I106" s="10">
        <f t="shared" si="46"/>
        <v>0.29487582644628096</v>
      </c>
      <c r="J106" s="80">
        <v>1</v>
      </c>
      <c r="K106" s="81">
        <v>528</v>
      </c>
      <c r="L106" s="10">
        <f t="shared" si="47"/>
        <v>1.9636363636363639E-2</v>
      </c>
      <c r="M106" s="10">
        <f t="shared" si="48"/>
        <v>0.20436363636363636</v>
      </c>
      <c r="N106" s="10">
        <f t="shared" si="49"/>
        <v>14.197818181818182</v>
      </c>
      <c r="O106" s="10">
        <f t="shared" si="50"/>
        <v>6.4800000000000014E-3</v>
      </c>
      <c r="P106" s="10">
        <f t="shared" si="51"/>
        <v>5.7221818181818186E-2</v>
      </c>
      <c r="Q106" s="86">
        <v>1</v>
      </c>
      <c r="R106" s="87">
        <v>13750</v>
      </c>
      <c r="S106" s="10">
        <f t="shared" si="37"/>
        <v>0.12941919191919191</v>
      </c>
      <c r="T106" s="10">
        <f t="shared" si="38"/>
        <v>3.1786616161616159</v>
      </c>
      <c r="U106" s="10">
        <f t="shared" si="39"/>
        <v>55.492424242424242</v>
      </c>
      <c r="V106" s="10">
        <f t="shared" si="52"/>
        <v>3.882575757575757E-3</v>
      </c>
      <c r="W106" s="10">
        <f t="shared" si="53"/>
        <v>0.19071969696969696</v>
      </c>
    </row>
    <row r="107" spans="1:23">
      <c r="A107" s="83" t="s">
        <v>82</v>
      </c>
      <c r="B107" s="9">
        <v>0.3</v>
      </c>
      <c r="C107" s="86">
        <v>1</v>
      </c>
      <c r="D107" s="87">
        <v>1769</v>
      </c>
      <c r="E107" s="10">
        <f t="shared" si="42"/>
        <v>6.5789256198347107E-2</v>
      </c>
      <c r="F107" s="10">
        <f t="shared" si="43"/>
        <v>0.68469559228650134</v>
      </c>
      <c r="G107" s="10">
        <f t="shared" si="44"/>
        <v>47.568068870523412</v>
      </c>
      <c r="H107" s="10">
        <f t="shared" si="45"/>
        <v>3.4210413223140494E-2</v>
      </c>
      <c r="I107" s="10">
        <f t="shared" si="46"/>
        <v>0.30811301652892559</v>
      </c>
      <c r="J107" s="80"/>
      <c r="K107" s="81"/>
      <c r="L107" s="10">
        <f t="shared" si="47"/>
        <v>0</v>
      </c>
      <c r="M107" s="10">
        <f t="shared" si="48"/>
        <v>0</v>
      </c>
      <c r="N107" s="10">
        <f t="shared" si="49"/>
        <v>0</v>
      </c>
      <c r="O107" s="10">
        <f t="shared" si="50"/>
        <v>0</v>
      </c>
      <c r="P107" s="10">
        <f t="shared" si="51"/>
        <v>0</v>
      </c>
      <c r="Q107" s="86"/>
      <c r="R107" s="87"/>
      <c r="S107" s="10">
        <f t="shared" si="37"/>
        <v>0</v>
      </c>
      <c r="T107" s="10">
        <f t="shared" si="38"/>
        <v>0</v>
      </c>
      <c r="U107" s="10">
        <f t="shared" si="39"/>
        <v>0</v>
      </c>
      <c r="V107" s="10">
        <f t="shared" si="52"/>
        <v>0</v>
      </c>
      <c r="W107" s="10">
        <f t="shared" si="53"/>
        <v>0</v>
      </c>
    </row>
    <row r="108" spans="1:23">
      <c r="A108" s="83" t="s">
        <v>162</v>
      </c>
      <c r="B108" s="9">
        <v>0.5</v>
      </c>
      <c r="C108" s="86">
        <v>1</v>
      </c>
      <c r="D108" s="88">
        <v>2598</v>
      </c>
      <c r="E108" s="10">
        <f t="shared" si="42"/>
        <v>9.6619834710743813E-2</v>
      </c>
      <c r="F108" s="10">
        <f t="shared" si="43"/>
        <v>1.0055619834710745</v>
      </c>
      <c r="G108" s="10">
        <f t="shared" si="44"/>
        <v>69.859719008264463</v>
      </c>
      <c r="H108" s="10">
        <f t="shared" si="45"/>
        <v>5.0242314049586782E-2</v>
      </c>
      <c r="I108" s="10">
        <f t="shared" si="46"/>
        <v>0.45250289256198356</v>
      </c>
      <c r="J108" s="80"/>
      <c r="K108" s="82"/>
      <c r="L108" s="10">
        <f t="shared" si="47"/>
        <v>0</v>
      </c>
      <c r="M108" s="10">
        <f t="shared" si="48"/>
        <v>0</v>
      </c>
      <c r="N108" s="10">
        <f t="shared" si="49"/>
        <v>0</v>
      </c>
      <c r="O108" s="10">
        <f t="shared" si="50"/>
        <v>0</v>
      </c>
      <c r="P108" s="10">
        <f t="shared" si="51"/>
        <v>0</v>
      </c>
      <c r="Q108" s="86">
        <v>1</v>
      </c>
      <c r="R108" s="88">
        <v>7328.4</v>
      </c>
      <c r="S108" s="10">
        <f t="shared" si="37"/>
        <v>6.8977134986225888E-2</v>
      </c>
      <c r="T108" s="10">
        <f t="shared" si="38"/>
        <v>1.6941457300275482</v>
      </c>
      <c r="U108" s="10">
        <f t="shared" si="39"/>
        <v>29.576049586776861</v>
      </c>
      <c r="V108" s="10">
        <f t="shared" si="52"/>
        <v>2.0693140495867766E-3</v>
      </c>
      <c r="W108" s="10">
        <f t="shared" si="53"/>
        <v>0.10164874380165288</v>
      </c>
    </row>
    <row r="109" spans="1:23">
      <c r="A109" s="83" t="s">
        <v>7</v>
      </c>
      <c r="B109" s="9">
        <v>0.4</v>
      </c>
      <c r="C109" s="86">
        <v>1</v>
      </c>
      <c r="D109" s="88">
        <v>2800</v>
      </c>
      <c r="E109" s="10">
        <f t="shared" si="42"/>
        <v>0.1041322314049587</v>
      </c>
      <c r="F109" s="10">
        <f t="shared" si="43"/>
        <v>1.0837465564738293</v>
      </c>
      <c r="G109" s="10">
        <f t="shared" si="44"/>
        <v>75.291460055096422</v>
      </c>
      <c r="H109" s="10">
        <f t="shared" si="45"/>
        <v>5.4148760330578527E-2</v>
      </c>
      <c r="I109" s="10">
        <f t="shared" si="46"/>
        <v>0.48768595041322321</v>
      </c>
      <c r="J109" s="80"/>
      <c r="K109" s="82"/>
      <c r="L109" s="10">
        <f t="shared" si="47"/>
        <v>0</v>
      </c>
      <c r="M109" s="10">
        <f t="shared" si="48"/>
        <v>0</v>
      </c>
      <c r="N109" s="10">
        <f t="shared" si="49"/>
        <v>0</v>
      </c>
      <c r="O109" s="10">
        <f t="shared" si="50"/>
        <v>0</v>
      </c>
      <c r="P109" s="10">
        <f t="shared" si="51"/>
        <v>0</v>
      </c>
      <c r="Q109" s="86">
        <v>1</v>
      </c>
      <c r="R109" s="88">
        <v>11600</v>
      </c>
      <c r="S109" s="10">
        <f t="shared" si="37"/>
        <v>0.10918273645546371</v>
      </c>
      <c r="T109" s="10">
        <f t="shared" si="38"/>
        <v>2.6816345270890727</v>
      </c>
      <c r="U109" s="10">
        <f t="shared" si="39"/>
        <v>46.815426997245183</v>
      </c>
      <c r="V109" s="10">
        <f t="shared" si="52"/>
        <v>3.2754820936639114E-3</v>
      </c>
      <c r="W109" s="10">
        <f t="shared" si="53"/>
        <v>0.16089807162534436</v>
      </c>
    </row>
    <row r="110" spans="1:23">
      <c r="A110" s="83" t="s">
        <v>25</v>
      </c>
      <c r="B110" s="9">
        <v>0.5</v>
      </c>
      <c r="C110" s="86">
        <v>1</v>
      </c>
      <c r="D110" s="88">
        <v>735</v>
      </c>
      <c r="E110" s="10">
        <f t="shared" si="42"/>
        <v>2.7334710743801654E-2</v>
      </c>
      <c r="F110" s="10">
        <f t="shared" si="43"/>
        <v>0.28448347107438016</v>
      </c>
      <c r="G110" s="10">
        <f t="shared" si="44"/>
        <v>19.764008264462809</v>
      </c>
      <c r="H110" s="10">
        <f t="shared" si="45"/>
        <v>1.4214049586776861E-2</v>
      </c>
      <c r="I110" s="10">
        <f t="shared" si="46"/>
        <v>0.12801756198347108</v>
      </c>
      <c r="J110" s="80">
        <v>1</v>
      </c>
      <c r="K110" s="82">
        <v>500</v>
      </c>
      <c r="L110" s="10">
        <f t="shared" si="47"/>
        <v>1.859504132231405E-2</v>
      </c>
      <c r="M110" s="10">
        <f t="shared" si="48"/>
        <v>0.19352617079889806</v>
      </c>
      <c r="N110" s="10">
        <f t="shared" si="49"/>
        <v>13.444903581267216</v>
      </c>
      <c r="O110" s="10">
        <f t="shared" si="50"/>
        <v>6.1363636363636368E-3</v>
      </c>
      <c r="P110" s="10">
        <f t="shared" si="51"/>
        <v>5.4187327823691463E-2</v>
      </c>
      <c r="Q110" s="86">
        <v>1</v>
      </c>
      <c r="R110" s="88">
        <v>2114</v>
      </c>
      <c r="S110" s="10">
        <f t="shared" si="37"/>
        <v>1.9897612488521579E-2</v>
      </c>
      <c r="T110" s="10">
        <f t="shared" si="38"/>
        <v>0.48870477502295684</v>
      </c>
      <c r="U110" s="10">
        <f t="shared" si="39"/>
        <v>8.5317079889807168</v>
      </c>
      <c r="V110" s="10">
        <f t="shared" si="52"/>
        <v>5.9692837465564737E-4</v>
      </c>
      <c r="W110" s="10">
        <f t="shared" si="53"/>
        <v>2.9322286501377408E-2</v>
      </c>
    </row>
    <row r="111" spans="1:23">
      <c r="A111" s="83" t="s">
        <v>22</v>
      </c>
      <c r="B111" s="9">
        <v>0.2</v>
      </c>
      <c r="C111" s="86">
        <v>1</v>
      </c>
      <c r="D111" s="88">
        <v>669</v>
      </c>
      <c r="E111" s="10">
        <f t="shared" si="42"/>
        <v>2.4880165289256198E-2</v>
      </c>
      <c r="F111" s="10">
        <f t="shared" si="43"/>
        <v>0.25893801652892562</v>
      </c>
      <c r="G111" s="10">
        <f t="shared" si="44"/>
        <v>17.989280991735537</v>
      </c>
      <c r="H111" s="10">
        <f t="shared" si="45"/>
        <v>1.2937685950413223E-2</v>
      </c>
      <c r="I111" s="10">
        <f t="shared" si="46"/>
        <v>0.11652210743801653</v>
      </c>
      <c r="J111" s="80"/>
      <c r="K111" s="82"/>
      <c r="L111" s="10">
        <f t="shared" si="47"/>
        <v>0</v>
      </c>
      <c r="M111" s="10">
        <f t="shared" si="48"/>
        <v>0</v>
      </c>
      <c r="N111" s="10">
        <f t="shared" si="49"/>
        <v>0</v>
      </c>
      <c r="O111" s="10">
        <f t="shared" si="50"/>
        <v>0</v>
      </c>
      <c r="P111" s="10">
        <f t="shared" si="51"/>
        <v>0</v>
      </c>
      <c r="Q111" s="86"/>
      <c r="R111" s="88"/>
      <c r="S111" s="10">
        <f t="shared" si="37"/>
        <v>0</v>
      </c>
      <c r="T111" s="10">
        <f t="shared" si="38"/>
        <v>0</v>
      </c>
      <c r="U111" s="10">
        <f t="shared" si="39"/>
        <v>0</v>
      </c>
      <c r="V111" s="10">
        <f t="shared" si="52"/>
        <v>0</v>
      </c>
      <c r="W111" s="10">
        <f t="shared" si="53"/>
        <v>0</v>
      </c>
    </row>
    <row r="112" spans="1:23">
      <c r="A112" s="83" t="s">
        <v>100</v>
      </c>
      <c r="B112" s="9">
        <v>0.4</v>
      </c>
      <c r="C112" s="86">
        <v>1</v>
      </c>
      <c r="D112" s="87">
        <v>1066</v>
      </c>
      <c r="E112" s="10">
        <f t="shared" si="42"/>
        <v>3.9644628099173559E-2</v>
      </c>
      <c r="F112" s="10">
        <f t="shared" si="43"/>
        <v>0.41259779614325071</v>
      </c>
      <c r="G112" s="10">
        <f t="shared" si="44"/>
        <v>28.664534435261707</v>
      </c>
      <c r="H112" s="10">
        <f t="shared" si="45"/>
        <v>2.0615206611570253E-2</v>
      </c>
      <c r="I112" s="10">
        <f t="shared" si="46"/>
        <v>0.18566900826446281</v>
      </c>
      <c r="J112" s="80"/>
      <c r="K112" s="81"/>
      <c r="L112" s="10">
        <f t="shared" si="47"/>
        <v>0</v>
      </c>
      <c r="M112" s="10">
        <f t="shared" si="48"/>
        <v>0</v>
      </c>
      <c r="N112" s="10">
        <f t="shared" si="49"/>
        <v>0</v>
      </c>
      <c r="O112" s="10">
        <f t="shared" si="50"/>
        <v>0</v>
      </c>
      <c r="P112" s="10">
        <f t="shared" si="51"/>
        <v>0</v>
      </c>
      <c r="Q112" s="86">
        <v>1</v>
      </c>
      <c r="R112" s="87">
        <v>3300</v>
      </c>
      <c r="S112" s="10">
        <f t="shared" si="37"/>
        <v>3.1060606060606059E-2</v>
      </c>
      <c r="T112" s="10">
        <f t="shared" si="38"/>
        <v>0.76287878787878793</v>
      </c>
      <c r="U112" s="10">
        <f t="shared" si="39"/>
        <v>13.31818181818182</v>
      </c>
      <c r="V112" s="10">
        <f t="shared" si="52"/>
        <v>9.3181818181818177E-4</v>
      </c>
      <c r="W112" s="10">
        <f t="shared" si="53"/>
        <v>4.5772727272727277E-2</v>
      </c>
    </row>
    <row r="113" spans="1:23">
      <c r="A113" s="83" t="s">
        <v>44</v>
      </c>
      <c r="B113" s="9">
        <v>0.5</v>
      </c>
      <c r="C113" s="86">
        <v>1</v>
      </c>
      <c r="D113" s="88">
        <v>731</v>
      </c>
      <c r="E113" s="10">
        <f t="shared" si="42"/>
        <v>2.718595041322314E-2</v>
      </c>
      <c r="F113" s="10">
        <f t="shared" si="43"/>
        <v>0.28293526170798894</v>
      </c>
      <c r="G113" s="10">
        <f t="shared" si="44"/>
        <v>19.65644903581267</v>
      </c>
      <c r="H113" s="10">
        <f t="shared" si="45"/>
        <v>1.4136694214876034E-2</v>
      </c>
      <c r="I113" s="10">
        <f t="shared" si="46"/>
        <v>0.12732086776859503</v>
      </c>
      <c r="J113" s="80">
        <v>1</v>
      </c>
      <c r="K113" s="82">
        <v>365</v>
      </c>
      <c r="L113" s="10">
        <f t="shared" si="47"/>
        <v>1.3574380165289258E-2</v>
      </c>
      <c r="M113" s="10">
        <f t="shared" si="48"/>
        <v>0.14127410468319559</v>
      </c>
      <c r="N113" s="10">
        <f t="shared" si="49"/>
        <v>9.8147796143250687</v>
      </c>
      <c r="O113" s="10">
        <f t="shared" si="50"/>
        <v>4.4795454545454557E-3</v>
      </c>
      <c r="P113" s="10">
        <f t="shared" si="51"/>
        <v>3.955674931129477E-2</v>
      </c>
      <c r="Q113" s="86">
        <v>1</v>
      </c>
      <c r="R113" s="88">
        <v>5626</v>
      </c>
      <c r="S113" s="10">
        <f t="shared" si="37"/>
        <v>5.2953627180899909E-2</v>
      </c>
      <c r="T113" s="10">
        <f t="shared" si="38"/>
        <v>1.3005927456382003</v>
      </c>
      <c r="U113" s="10">
        <f t="shared" si="39"/>
        <v>22.705482093663914</v>
      </c>
      <c r="V113" s="10">
        <f t="shared" si="52"/>
        <v>1.5886088154269972E-3</v>
      </c>
      <c r="W113" s="10">
        <f t="shared" si="53"/>
        <v>7.8035564738292013E-2</v>
      </c>
    </row>
    <row r="114" spans="1:23">
      <c r="A114" s="83" t="s">
        <v>126</v>
      </c>
      <c r="B114" s="9">
        <v>0.3</v>
      </c>
      <c r="C114" s="86">
        <v>1</v>
      </c>
      <c r="D114" s="87">
        <v>728</v>
      </c>
      <c r="E114" s="10">
        <f t="shared" si="42"/>
        <v>2.707438016528926E-2</v>
      </c>
      <c r="F114" s="10">
        <f t="shared" si="43"/>
        <v>0.28177410468319558</v>
      </c>
      <c r="G114" s="10">
        <f t="shared" si="44"/>
        <v>19.575779614325068</v>
      </c>
      <c r="H114" s="10">
        <f t="shared" si="45"/>
        <v>1.4078677685950416E-2</v>
      </c>
      <c r="I114" s="10">
        <f t="shared" si="46"/>
        <v>0.12679834710743801</v>
      </c>
      <c r="J114" s="80"/>
      <c r="K114" s="81"/>
      <c r="L114" s="10">
        <f t="shared" si="47"/>
        <v>0</v>
      </c>
      <c r="M114" s="10">
        <f t="shared" si="48"/>
        <v>0</v>
      </c>
      <c r="N114" s="10">
        <f t="shared" si="49"/>
        <v>0</v>
      </c>
      <c r="O114" s="10">
        <f t="shared" si="50"/>
        <v>0</v>
      </c>
      <c r="P114" s="10">
        <f t="shared" si="51"/>
        <v>0</v>
      </c>
      <c r="Q114" s="86">
        <v>1</v>
      </c>
      <c r="R114" s="87">
        <v>1409</v>
      </c>
      <c r="S114" s="10">
        <f t="shared" si="37"/>
        <v>1.3261937557392101E-2</v>
      </c>
      <c r="T114" s="10">
        <f t="shared" si="38"/>
        <v>0.3257261248852158</v>
      </c>
      <c r="U114" s="10">
        <f t="shared" si="39"/>
        <v>5.6864600550964184</v>
      </c>
      <c r="V114" s="10">
        <f t="shared" si="52"/>
        <v>3.9785812672176303E-4</v>
      </c>
      <c r="W114" s="10">
        <f t="shared" si="53"/>
        <v>1.9543567493112948E-2</v>
      </c>
    </row>
    <row r="115" spans="1:23">
      <c r="A115" s="83" t="s">
        <v>110</v>
      </c>
      <c r="B115" s="9">
        <v>0.3</v>
      </c>
      <c r="C115" s="86">
        <v>1</v>
      </c>
      <c r="D115" s="87">
        <v>822</v>
      </c>
      <c r="E115" s="10">
        <f t="shared" si="42"/>
        <v>3.0570247933884298E-2</v>
      </c>
      <c r="F115" s="10">
        <f t="shared" si="43"/>
        <v>0.31815702479338842</v>
      </c>
      <c r="G115" s="10">
        <f t="shared" si="44"/>
        <v>22.103421487603303</v>
      </c>
      <c r="H115" s="10">
        <f t="shared" si="45"/>
        <v>1.5896528925619834E-2</v>
      </c>
      <c r="I115" s="10">
        <f t="shared" si="46"/>
        <v>0.14317066115702479</v>
      </c>
      <c r="J115" s="80"/>
      <c r="K115" s="81"/>
      <c r="L115" s="10">
        <f t="shared" si="47"/>
        <v>0</v>
      </c>
      <c r="M115" s="10">
        <f t="shared" si="48"/>
        <v>0</v>
      </c>
      <c r="N115" s="10">
        <f t="shared" si="49"/>
        <v>0</v>
      </c>
      <c r="O115" s="10">
        <f t="shared" si="50"/>
        <v>0</v>
      </c>
      <c r="P115" s="10">
        <f t="shared" si="51"/>
        <v>0</v>
      </c>
      <c r="Q115" s="86">
        <v>1</v>
      </c>
      <c r="R115" s="87">
        <v>1128</v>
      </c>
      <c r="S115" s="10">
        <f t="shared" si="37"/>
        <v>1.0617079889807162E-2</v>
      </c>
      <c r="T115" s="10">
        <f t="shared" si="38"/>
        <v>0.26076584022038568</v>
      </c>
      <c r="U115" s="10">
        <f t="shared" si="39"/>
        <v>4.5523966942148757</v>
      </c>
      <c r="V115" s="10">
        <f t="shared" si="52"/>
        <v>3.1851239669421482E-4</v>
      </c>
      <c r="W115" s="10">
        <f t="shared" si="53"/>
        <v>1.5645950413223142E-2</v>
      </c>
    </row>
    <row r="116" spans="1:23" ht="15.75" customHeight="1">
      <c r="A116" s="83" t="s">
        <v>139</v>
      </c>
      <c r="B116" s="9">
        <v>0.5</v>
      </c>
      <c r="C116" s="86">
        <v>1</v>
      </c>
      <c r="D116" s="87">
        <v>3400</v>
      </c>
      <c r="E116" s="10">
        <f t="shared" si="42"/>
        <v>0.12644628099173555</v>
      </c>
      <c r="F116" s="10">
        <f t="shared" si="43"/>
        <v>1.3159779614325069</v>
      </c>
      <c r="G116" s="10">
        <f t="shared" si="44"/>
        <v>91.425344352617088</v>
      </c>
      <c r="H116" s="10">
        <f t="shared" si="45"/>
        <v>6.5752066115702487E-2</v>
      </c>
      <c r="I116" s="10">
        <f t="shared" si="46"/>
        <v>0.59219008264462814</v>
      </c>
      <c r="J116" s="80">
        <v>1</v>
      </c>
      <c r="K116" s="81">
        <v>3000</v>
      </c>
      <c r="L116" s="10">
        <f t="shared" si="47"/>
        <v>0.11157024793388431</v>
      </c>
      <c r="M116" s="10">
        <f t="shared" si="48"/>
        <v>1.1611570247933884</v>
      </c>
      <c r="N116" s="10">
        <f t="shared" si="49"/>
        <v>80.669421487603302</v>
      </c>
      <c r="O116" s="10">
        <f t="shared" si="50"/>
        <v>3.6818181818181826E-2</v>
      </c>
      <c r="P116" s="10">
        <f t="shared" si="51"/>
        <v>0.32512396694214879</v>
      </c>
      <c r="Q116" s="86">
        <v>1</v>
      </c>
      <c r="R116" s="87">
        <v>522720</v>
      </c>
      <c r="S116" s="10">
        <f t="shared" si="37"/>
        <v>4.92</v>
      </c>
      <c r="T116" s="10">
        <f t="shared" si="38"/>
        <v>120.84</v>
      </c>
      <c r="U116" s="10">
        <f t="shared" si="39"/>
        <v>2109.6000000000004</v>
      </c>
      <c r="V116" s="10">
        <f t="shared" si="52"/>
        <v>0.14759999999999998</v>
      </c>
      <c r="W116" s="10">
        <f t="shared" si="53"/>
        <v>7.2504</v>
      </c>
    </row>
    <row r="117" spans="1:23">
      <c r="A117" s="83" t="s">
        <v>32</v>
      </c>
      <c r="B117" s="9">
        <v>0.4</v>
      </c>
      <c r="C117" s="86">
        <v>1</v>
      </c>
      <c r="D117" s="88">
        <v>1240</v>
      </c>
      <c r="E117" s="10">
        <f t="shared" si="42"/>
        <v>4.6115702479338841E-2</v>
      </c>
      <c r="F117" s="10">
        <f t="shared" si="43"/>
        <v>0.47994490358126718</v>
      </c>
      <c r="G117" s="10">
        <f t="shared" si="44"/>
        <v>33.343360881542694</v>
      </c>
      <c r="H117" s="10">
        <f t="shared" si="45"/>
        <v>2.3980165289256197E-2</v>
      </c>
      <c r="I117" s="10">
        <f t="shared" si="46"/>
        <v>0.21597520661157024</v>
      </c>
      <c r="J117" s="80"/>
      <c r="K117" s="82"/>
      <c r="L117" s="10">
        <f t="shared" si="47"/>
        <v>0</v>
      </c>
      <c r="M117" s="10">
        <f t="shared" si="48"/>
        <v>0</v>
      </c>
      <c r="N117" s="10">
        <f t="shared" si="49"/>
        <v>0</v>
      </c>
      <c r="O117" s="10">
        <f t="shared" si="50"/>
        <v>0</v>
      </c>
      <c r="P117" s="10">
        <f t="shared" si="51"/>
        <v>0</v>
      </c>
      <c r="Q117" s="86">
        <v>1</v>
      </c>
      <c r="R117" s="88">
        <v>73000</v>
      </c>
      <c r="S117" s="10">
        <f t="shared" si="37"/>
        <v>0.68709825528007351</v>
      </c>
      <c r="T117" s="10">
        <f t="shared" si="38"/>
        <v>16.875803489439853</v>
      </c>
      <c r="U117" s="10">
        <f t="shared" si="39"/>
        <v>294.61432506887058</v>
      </c>
      <c r="V117" s="10">
        <f t="shared" si="52"/>
        <v>2.0612947658402204E-2</v>
      </c>
      <c r="W117" s="10">
        <f t="shared" si="53"/>
        <v>1.0125482093663911</v>
      </c>
    </row>
    <row r="118" spans="1:23">
      <c r="A118" s="83" t="s">
        <v>38</v>
      </c>
      <c r="B118" s="9">
        <v>0.4</v>
      </c>
      <c r="C118" s="86">
        <v>1</v>
      </c>
      <c r="D118" s="88">
        <v>2290.8000000000002</v>
      </c>
      <c r="E118" s="10">
        <f t="shared" si="42"/>
        <v>8.5195041322314063E-2</v>
      </c>
      <c r="F118" s="10">
        <f t="shared" si="43"/>
        <v>0.88665950413223149</v>
      </c>
      <c r="G118" s="10">
        <f t="shared" si="44"/>
        <v>61.599170247933884</v>
      </c>
      <c r="H118" s="10">
        <f t="shared" si="45"/>
        <v>4.4301421487603312E-2</v>
      </c>
      <c r="I118" s="10">
        <f t="shared" si="46"/>
        <v>0.39899677685950419</v>
      </c>
      <c r="J118" s="80"/>
      <c r="K118" s="82"/>
      <c r="L118" s="10">
        <f t="shared" si="47"/>
        <v>0</v>
      </c>
      <c r="M118" s="10">
        <f t="shared" si="48"/>
        <v>0</v>
      </c>
      <c r="N118" s="10">
        <f t="shared" si="49"/>
        <v>0</v>
      </c>
      <c r="O118" s="10">
        <f t="shared" si="50"/>
        <v>0</v>
      </c>
      <c r="P118" s="10">
        <f t="shared" si="51"/>
        <v>0</v>
      </c>
      <c r="Q118" s="86">
        <v>1</v>
      </c>
      <c r="R118" s="88">
        <v>66701</v>
      </c>
      <c r="S118" s="10">
        <f t="shared" si="37"/>
        <v>0.62781014692378334</v>
      </c>
      <c r="T118" s="10">
        <f t="shared" si="38"/>
        <v>15.419629706152435</v>
      </c>
      <c r="U118" s="10">
        <f t="shared" si="39"/>
        <v>269.192741046832</v>
      </c>
      <c r="V118" s="10">
        <f t="shared" si="52"/>
        <v>1.8834304407713498E-2</v>
      </c>
      <c r="W118" s="10">
        <f t="shared" si="53"/>
        <v>0.92517778236914605</v>
      </c>
    </row>
    <row r="119" spans="1:23" ht="13.5" customHeight="1">
      <c r="A119" s="83" t="s">
        <v>79</v>
      </c>
      <c r="B119" s="9">
        <v>0.4</v>
      </c>
      <c r="C119" s="86">
        <v>1</v>
      </c>
      <c r="D119" s="87">
        <v>3832</v>
      </c>
      <c r="E119" s="10">
        <f t="shared" si="42"/>
        <v>0.14251239669421489</v>
      </c>
      <c r="F119" s="10">
        <f t="shared" si="43"/>
        <v>1.4831845730027549</v>
      </c>
      <c r="G119" s="10">
        <f t="shared" si="44"/>
        <v>103.04174104683194</v>
      </c>
      <c r="H119" s="10">
        <f t="shared" si="45"/>
        <v>7.410644628099175E-2</v>
      </c>
      <c r="I119" s="10">
        <f t="shared" si="46"/>
        <v>0.66743305785123974</v>
      </c>
      <c r="J119" s="80"/>
      <c r="K119" s="81"/>
      <c r="L119" s="10">
        <f t="shared" si="47"/>
        <v>0</v>
      </c>
      <c r="M119" s="10">
        <f t="shared" si="48"/>
        <v>0</v>
      </c>
      <c r="N119" s="10">
        <f t="shared" si="49"/>
        <v>0</v>
      </c>
      <c r="O119" s="10">
        <f t="shared" si="50"/>
        <v>0</v>
      </c>
      <c r="P119" s="10">
        <f t="shared" si="51"/>
        <v>0</v>
      </c>
      <c r="Q119" s="86">
        <v>1</v>
      </c>
      <c r="R119" s="87">
        <v>177000</v>
      </c>
      <c r="S119" s="10">
        <f t="shared" si="37"/>
        <v>1.6659779614325068</v>
      </c>
      <c r="T119" s="10">
        <f t="shared" si="38"/>
        <v>40.918044077134986</v>
      </c>
      <c r="U119" s="10">
        <f t="shared" si="39"/>
        <v>714.3388429752066</v>
      </c>
      <c r="V119" s="10">
        <f t="shared" si="52"/>
        <v>4.9979338842975202E-2</v>
      </c>
      <c r="W119" s="10">
        <f t="shared" si="53"/>
        <v>2.4550826446280989</v>
      </c>
    </row>
    <row r="120" spans="1:23">
      <c r="A120" s="83" t="s">
        <v>118</v>
      </c>
      <c r="B120" s="9">
        <v>0.5</v>
      </c>
      <c r="C120" s="86">
        <v>1</v>
      </c>
      <c r="D120" s="87">
        <v>1200</v>
      </c>
      <c r="E120" s="10">
        <f t="shared" si="42"/>
        <v>4.4628099173553724E-2</v>
      </c>
      <c r="F120" s="10">
        <f t="shared" si="43"/>
        <v>0.46446280991735539</v>
      </c>
      <c r="G120" s="10">
        <f t="shared" si="44"/>
        <v>32.267768595041325</v>
      </c>
      <c r="H120" s="10">
        <f t="shared" si="45"/>
        <v>2.3206611570247938E-2</v>
      </c>
      <c r="I120" s="10">
        <f t="shared" si="46"/>
        <v>0.20900826446280993</v>
      </c>
      <c r="J120" s="80">
        <v>1</v>
      </c>
      <c r="K120" s="81">
        <v>800</v>
      </c>
      <c r="L120" s="10">
        <f t="shared" si="47"/>
        <v>2.9752066115702479E-2</v>
      </c>
      <c r="M120" s="10">
        <f t="shared" si="48"/>
        <v>0.30964187327823689</v>
      </c>
      <c r="N120" s="10">
        <f t="shared" si="49"/>
        <v>21.511845730027545</v>
      </c>
      <c r="O120" s="10">
        <f t="shared" si="50"/>
        <v>9.8181818181818179E-3</v>
      </c>
      <c r="P120" s="10">
        <f t="shared" si="51"/>
        <v>8.6699724517906335E-2</v>
      </c>
      <c r="Q120" s="86">
        <v>1</v>
      </c>
      <c r="R120" s="87">
        <v>100000</v>
      </c>
      <c r="S120" s="10">
        <f t="shared" si="37"/>
        <v>0.94123048668503195</v>
      </c>
      <c r="T120" s="10">
        <f t="shared" si="38"/>
        <v>23.117539026629935</v>
      </c>
      <c r="U120" s="10">
        <f t="shared" si="39"/>
        <v>403.58126721763085</v>
      </c>
      <c r="V120" s="10">
        <f t="shared" si="52"/>
        <v>2.8236914600550958E-2</v>
      </c>
      <c r="W120" s="10">
        <f t="shared" si="53"/>
        <v>1.387052341597796</v>
      </c>
    </row>
    <row r="121" spans="1:23">
      <c r="A121" s="83" t="s">
        <v>88</v>
      </c>
      <c r="B121" s="9">
        <v>0.4</v>
      </c>
      <c r="C121" s="86">
        <v>1</v>
      </c>
      <c r="D121" s="87">
        <v>3400</v>
      </c>
      <c r="E121" s="10">
        <f t="shared" si="42"/>
        <v>0.12644628099173555</v>
      </c>
      <c r="F121" s="10">
        <f t="shared" si="43"/>
        <v>1.3159779614325069</v>
      </c>
      <c r="G121" s="10">
        <f t="shared" si="44"/>
        <v>91.425344352617088</v>
      </c>
      <c r="H121" s="10">
        <f t="shared" si="45"/>
        <v>6.5752066115702487E-2</v>
      </c>
      <c r="I121" s="10">
        <f t="shared" si="46"/>
        <v>0.59219008264462814</v>
      </c>
      <c r="J121" s="80"/>
      <c r="K121" s="81"/>
      <c r="L121" s="10">
        <f t="shared" si="47"/>
        <v>0</v>
      </c>
      <c r="M121" s="10">
        <f t="shared" si="48"/>
        <v>0</v>
      </c>
      <c r="N121" s="10">
        <f t="shared" si="49"/>
        <v>0</v>
      </c>
      <c r="O121" s="10">
        <f t="shared" si="50"/>
        <v>0</v>
      </c>
      <c r="P121" s="10">
        <f t="shared" si="51"/>
        <v>0</v>
      </c>
      <c r="Q121" s="86"/>
      <c r="R121" s="87"/>
      <c r="S121" s="10">
        <f t="shared" si="37"/>
        <v>0</v>
      </c>
      <c r="T121" s="10">
        <f t="shared" si="38"/>
        <v>0</v>
      </c>
      <c r="U121" s="10">
        <f t="shared" si="39"/>
        <v>0</v>
      </c>
      <c r="V121" s="10">
        <f t="shared" si="52"/>
        <v>0</v>
      </c>
      <c r="W121" s="10">
        <f t="shared" si="53"/>
        <v>0</v>
      </c>
    </row>
    <row r="122" spans="1:23">
      <c r="A122" s="83" t="s">
        <v>43</v>
      </c>
      <c r="B122" s="9">
        <v>0.3</v>
      </c>
      <c r="C122" s="86"/>
      <c r="D122" s="88"/>
      <c r="E122" s="10">
        <f t="shared" si="42"/>
        <v>0</v>
      </c>
      <c r="F122" s="10">
        <f t="shared" si="43"/>
        <v>0</v>
      </c>
      <c r="G122" s="10">
        <f t="shared" si="44"/>
        <v>0</v>
      </c>
      <c r="H122" s="10">
        <f t="shared" si="45"/>
        <v>0</v>
      </c>
      <c r="I122" s="10">
        <f t="shared" si="46"/>
        <v>0</v>
      </c>
      <c r="J122" s="80">
        <v>1</v>
      </c>
      <c r="K122" s="82">
        <v>614</v>
      </c>
      <c r="L122" s="10">
        <f t="shared" si="47"/>
        <v>2.2834710743801653E-2</v>
      </c>
      <c r="M122" s="10">
        <f t="shared" si="48"/>
        <v>0.23765013774104682</v>
      </c>
      <c r="N122" s="10">
        <f t="shared" si="49"/>
        <v>16.510341597796142</v>
      </c>
      <c r="O122" s="10">
        <f t="shared" si="50"/>
        <v>7.5354545454545457E-3</v>
      </c>
      <c r="P122" s="10">
        <f t="shared" si="51"/>
        <v>6.654203856749312E-2</v>
      </c>
      <c r="Q122" s="86">
        <v>1</v>
      </c>
      <c r="R122" s="88">
        <v>14598</v>
      </c>
      <c r="S122" s="10">
        <f t="shared" si="37"/>
        <v>0.13740082644628099</v>
      </c>
      <c r="T122" s="10">
        <f t="shared" si="38"/>
        <v>3.3746983471074379</v>
      </c>
      <c r="U122" s="10">
        <f t="shared" si="39"/>
        <v>58.91479338842975</v>
      </c>
      <c r="V122" s="10">
        <f t="shared" si="52"/>
        <v>4.1220247933884298E-3</v>
      </c>
      <c r="W122" s="10">
        <f t="shared" si="53"/>
        <v>0.20248190082644626</v>
      </c>
    </row>
    <row r="123" spans="1:23">
      <c r="A123" s="83" t="s">
        <v>119</v>
      </c>
      <c r="B123" s="9">
        <v>0.4</v>
      </c>
      <c r="C123" s="86">
        <v>1</v>
      </c>
      <c r="D123" s="87">
        <v>2487</v>
      </c>
      <c r="E123" s="10">
        <f t="shared" si="42"/>
        <v>9.249173553719009E-2</v>
      </c>
      <c r="F123" s="10">
        <f t="shared" si="43"/>
        <v>0.96259917355371893</v>
      </c>
      <c r="G123" s="10">
        <f t="shared" si="44"/>
        <v>66.874950413223132</v>
      </c>
      <c r="H123" s="10">
        <f t="shared" si="45"/>
        <v>4.809570247933885E-2</v>
      </c>
      <c r="I123" s="10">
        <f t="shared" si="46"/>
        <v>0.43316962809917353</v>
      </c>
      <c r="J123" s="80"/>
      <c r="K123" s="81"/>
      <c r="L123" s="10">
        <f t="shared" si="47"/>
        <v>0</v>
      </c>
      <c r="M123" s="10">
        <f t="shared" si="48"/>
        <v>0</v>
      </c>
      <c r="N123" s="10">
        <f t="shared" si="49"/>
        <v>0</v>
      </c>
      <c r="O123" s="10">
        <f t="shared" si="50"/>
        <v>0</v>
      </c>
      <c r="P123" s="10">
        <f t="shared" si="51"/>
        <v>0</v>
      </c>
      <c r="Q123" s="86">
        <v>1</v>
      </c>
      <c r="R123" s="87">
        <v>7000</v>
      </c>
      <c r="S123" s="10">
        <f t="shared" si="37"/>
        <v>6.588613406795224E-2</v>
      </c>
      <c r="T123" s="10">
        <f t="shared" si="38"/>
        <v>1.6182277318640954</v>
      </c>
      <c r="U123" s="10">
        <f t="shared" si="39"/>
        <v>28.250688705234161</v>
      </c>
      <c r="V123" s="10">
        <f t="shared" si="52"/>
        <v>1.9765840220385671E-3</v>
      </c>
      <c r="W123" s="10">
        <f t="shared" si="53"/>
        <v>9.7093663911845721E-2</v>
      </c>
    </row>
    <row r="124" spans="1:23">
      <c r="A124" s="83" t="s">
        <v>120</v>
      </c>
      <c r="B124" s="9">
        <v>0.4</v>
      </c>
      <c r="C124" s="86">
        <v>1</v>
      </c>
      <c r="D124" s="87">
        <v>4000</v>
      </c>
      <c r="E124" s="10">
        <f t="shared" si="42"/>
        <v>0.1487603305785124</v>
      </c>
      <c r="F124" s="10">
        <f t="shared" si="43"/>
        <v>1.5482093663911844</v>
      </c>
      <c r="G124" s="10">
        <f t="shared" si="44"/>
        <v>107.55922865013773</v>
      </c>
      <c r="H124" s="10">
        <f t="shared" si="45"/>
        <v>7.7355371900826447E-2</v>
      </c>
      <c r="I124" s="10">
        <f t="shared" si="46"/>
        <v>0.696694214876033</v>
      </c>
      <c r="J124" s="80"/>
      <c r="K124" s="81"/>
      <c r="L124" s="10">
        <f t="shared" si="47"/>
        <v>0</v>
      </c>
      <c r="M124" s="10">
        <f t="shared" si="48"/>
        <v>0</v>
      </c>
      <c r="N124" s="10">
        <f t="shared" si="49"/>
        <v>0</v>
      </c>
      <c r="O124" s="10">
        <f t="shared" si="50"/>
        <v>0</v>
      </c>
      <c r="P124" s="10">
        <f t="shared" si="51"/>
        <v>0</v>
      </c>
      <c r="Q124" s="86">
        <v>1</v>
      </c>
      <c r="R124" s="87">
        <v>5600</v>
      </c>
      <c r="S124" s="10">
        <f t="shared" si="37"/>
        <v>5.2708907254361802E-2</v>
      </c>
      <c r="T124" s="10">
        <f t="shared" si="38"/>
        <v>1.2945821854912765</v>
      </c>
      <c r="U124" s="10">
        <f t="shared" si="39"/>
        <v>22.600550964187331</v>
      </c>
      <c r="V124" s="10">
        <f t="shared" si="52"/>
        <v>1.581267217630854E-3</v>
      </c>
      <c r="W124" s="10">
        <f t="shared" si="53"/>
        <v>7.7674931129476585E-2</v>
      </c>
    </row>
    <row r="125" spans="1:23">
      <c r="A125" s="83" t="s">
        <v>65</v>
      </c>
      <c r="B125" s="9">
        <v>0.5</v>
      </c>
      <c r="C125" s="86">
        <v>1</v>
      </c>
      <c r="D125" s="87">
        <v>1812</v>
      </c>
      <c r="E125" s="10">
        <f t="shared" si="42"/>
        <v>6.7388429752066117E-2</v>
      </c>
      <c r="F125" s="10">
        <f t="shared" si="43"/>
        <v>0.70133884297520654</v>
      </c>
      <c r="G125" s="10">
        <f t="shared" si="44"/>
        <v>48.724330578512394</v>
      </c>
      <c r="H125" s="10">
        <f t="shared" si="45"/>
        <v>3.504198347107438E-2</v>
      </c>
      <c r="I125" s="10">
        <f t="shared" si="46"/>
        <v>0.31560247933884295</v>
      </c>
      <c r="J125" s="80">
        <v>1</v>
      </c>
      <c r="K125" s="81">
        <v>288</v>
      </c>
      <c r="L125" s="10">
        <f t="shared" si="47"/>
        <v>1.0710743801652893E-2</v>
      </c>
      <c r="M125" s="10">
        <f t="shared" si="48"/>
        <v>0.11147107438016528</v>
      </c>
      <c r="N125" s="10">
        <f t="shared" si="49"/>
        <v>7.7442644628099169</v>
      </c>
      <c r="O125" s="10">
        <f t="shared" si="50"/>
        <v>3.5345454545454551E-3</v>
      </c>
      <c r="P125" s="10">
        <f t="shared" si="51"/>
        <v>3.121190082644628E-2</v>
      </c>
      <c r="Q125" s="86">
        <v>1</v>
      </c>
      <c r="R125" s="87">
        <v>9800</v>
      </c>
      <c r="S125" s="10">
        <f t="shared" si="37"/>
        <v>9.2240587695133144E-2</v>
      </c>
      <c r="T125" s="10">
        <f t="shared" si="38"/>
        <v>2.2655188246097335</v>
      </c>
      <c r="U125" s="10">
        <f t="shared" si="39"/>
        <v>39.550964187327821</v>
      </c>
      <c r="V125" s="10">
        <f t="shared" si="52"/>
        <v>2.7672176308539942E-3</v>
      </c>
      <c r="W125" s="10">
        <f t="shared" si="53"/>
        <v>0.13593112947658401</v>
      </c>
    </row>
    <row r="126" spans="1:23">
      <c r="A126" s="83" t="s">
        <v>5</v>
      </c>
      <c r="B126" s="9">
        <v>0.5</v>
      </c>
      <c r="C126" s="86">
        <v>1</v>
      </c>
      <c r="D126" s="88">
        <v>1774</v>
      </c>
      <c r="E126" s="10">
        <f t="shared" si="42"/>
        <v>6.5975206611570261E-2</v>
      </c>
      <c r="F126" s="10">
        <f t="shared" si="43"/>
        <v>0.68663085399449042</v>
      </c>
      <c r="G126" s="10">
        <f t="shared" si="44"/>
        <v>47.702517906336091</v>
      </c>
      <c r="H126" s="10">
        <f t="shared" si="45"/>
        <v>3.4307107438016536E-2</v>
      </c>
      <c r="I126" s="10">
        <f t="shared" si="46"/>
        <v>0.30898388429752072</v>
      </c>
      <c r="J126" s="80">
        <v>1</v>
      </c>
      <c r="K126" s="82">
        <v>755</v>
      </c>
      <c r="L126" s="10">
        <f t="shared" si="47"/>
        <v>2.8078512396694216E-2</v>
      </c>
      <c r="M126" s="10">
        <f t="shared" si="48"/>
        <v>0.29222451790633608</v>
      </c>
      <c r="N126" s="10">
        <f t="shared" si="49"/>
        <v>20.301804407713497</v>
      </c>
      <c r="O126" s="10">
        <f t="shared" si="50"/>
        <v>9.265909090909092E-3</v>
      </c>
      <c r="P126" s="10">
        <f t="shared" si="51"/>
        <v>8.1822865013774115E-2</v>
      </c>
      <c r="Q126" s="86">
        <v>1</v>
      </c>
      <c r="R126" s="88">
        <v>1700</v>
      </c>
      <c r="S126" s="10">
        <f t="shared" si="37"/>
        <v>1.6000918273645547E-2</v>
      </c>
      <c r="T126" s="10">
        <f t="shared" si="38"/>
        <v>0.39299816345270894</v>
      </c>
      <c r="U126" s="10">
        <f t="shared" si="39"/>
        <v>6.8608815426997252</v>
      </c>
      <c r="V126" s="10">
        <f t="shared" si="52"/>
        <v>4.8002754820936636E-4</v>
      </c>
      <c r="W126" s="10">
        <f t="shared" si="53"/>
        <v>2.3579889807162534E-2</v>
      </c>
    </row>
    <row r="127" spans="1:23">
      <c r="A127" s="83" t="s">
        <v>84</v>
      </c>
      <c r="B127" s="9">
        <v>0.2</v>
      </c>
      <c r="C127" s="86"/>
      <c r="D127" s="87"/>
      <c r="E127" s="10">
        <f t="shared" si="42"/>
        <v>0</v>
      </c>
      <c r="F127" s="10">
        <f t="shared" si="43"/>
        <v>0</v>
      </c>
      <c r="G127" s="10">
        <f t="shared" si="44"/>
        <v>0</v>
      </c>
      <c r="H127" s="10">
        <f t="shared" si="45"/>
        <v>0</v>
      </c>
      <c r="I127" s="10">
        <f t="shared" si="46"/>
        <v>0</v>
      </c>
      <c r="J127" s="80"/>
      <c r="K127" s="81"/>
      <c r="L127" s="10">
        <f t="shared" si="47"/>
        <v>0</v>
      </c>
      <c r="M127" s="10">
        <f t="shared" si="48"/>
        <v>0</v>
      </c>
      <c r="N127" s="10">
        <f t="shared" si="49"/>
        <v>0</v>
      </c>
      <c r="O127" s="10">
        <f t="shared" si="50"/>
        <v>0</v>
      </c>
      <c r="P127" s="10">
        <f t="shared" si="51"/>
        <v>0</v>
      </c>
      <c r="Q127" s="86"/>
      <c r="R127" s="87"/>
      <c r="S127" s="10">
        <f t="shared" si="37"/>
        <v>0</v>
      </c>
      <c r="T127" s="10">
        <f t="shared" si="38"/>
        <v>0</v>
      </c>
      <c r="U127" s="10">
        <f t="shared" si="39"/>
        <v>0</v>
      </c>
      <c r="V127" s="10">
        <f t="shared" si="52"/>
        <v>0</v>
      </c>
      <c r="W127" s="10">
        <f t="shared" si="53"/>
        <v>0</v>
      </c>
    </row>
    <row r="128" spans="1:23">
      <c r="A128" s="83" t="s">
        <v>20</v>
      </c>
      <c r="B128" s="9">
        <v>0.5</v>
      </c>
      <c r="C128" s="86">
        <v>1</v>
      </c>
      <c r="D128" s="88">
        <v>5000</v>
      </c>
      <c r="E128" s="10">
        <f t="shared" si="42"/>
        <v>0.18595041322314051</v>
      </c>
      <c r="F128" s="10">
        <f t="shared" si="43"/>
        <v>1.9352617079889807</v>
      </c>
      <c r="G128" s="10">
        <f t="shared" si="44"/>
        <v>134.44903581267218</v>
      </c>
      <c r="H128" s="10">
        <f t="shared" si="45"/>
        <v>9.6694214876033066E-2</v>
      </c>
      <c r="I128" s="10">
        <f t="shared" si="46"/>
        <v>0.87086776859504134</v>
      </c>
      <c r="J128" s="80">
        <v>1</v>
      </c>
      <c r="K128" s="82">
        <v>400</v>
      </c>
      <c r="L128" s="10">
        <f t="shared" si="47"/>
        <v>1.487603305785124E-2</v>
      </c>
      <c r="M128" s="10">
        <f t="shared" si="48"/>
        <v>0.15482093663911844</v>
      </c>
      <c r="N128" s="10">
        <f t="shared" si="49"/>
        <v>10.755922865013773</v>
      </c>
      <c r="O128" s="10">
        <f t="shared" si="50"/>
        <v>4.909090909090909E-3</v>
      </c>
      <c r="P128" s="10">
        <f t="shared" si="51"/>
        <v>4.3349862258953167E-2</v>
      </c>
      <c r="Q128" s="86">
        <v>1</v>
      </c>
      <c r="R128" s="88">
        <v>1069000</v>
      </c>
      <c r="S128" s="10">
        <f t="shared" si="37"/>
        <v>10.061753902662993</v>
      </c>
      <c r="T128" s="10">
        <f t="shared" si="38"/>
        <v>247.12649219467403</v>
      </c>
      <c r="U128" s="10">
        <f t="shared" si="39"/>
        <v>4314.2837465564744</v>
      </c>
      <c r="V128" s="10">
        <f t="shared" si="52"/>
        <v>0.30185261707988975</v>
      </c>
      <c r="W128" s="10">
        <f t="shared" si="53"/>
        <v>14.827589531680442</v>
      </c>
    </row>
    <row r="129" spans="1:23">
      <c r="A129" s="83" t="s">
        <v>98</v>
      </c>
      <c r="B129" s="9">
        <v>0.4</v>
      </c>
      <c r="C129" s="86">
        <v>1</v>
      </c>
      <c r="D129" s="87">
        <v>802</v>
      </c>
      <c r="E129" s="10">
        <f t="shared" si="42"/>
        <v>2.9826446280991736E-2</v>
      </c>
      <c r="F129" s="10">
        <f t="shared" si="43"/>
        <v>0.3104159779614325</v>
      </c>
      <c r="G129" s="10">
        <f t="shared" si="44"/>
        <v>21.565625344352615</v>
      </c>
      <c r="H129" s="10">
        <f t="shared" si="45"/>
        <v>1.5509752066115703E-2</v>
      </c>
      <c r="I129" s="10">
        <f t="shared" si="46"/>
        <v>0.13968719008264463</v>
      </c>
      <c r="J129" s="80"/>
      <c r="K129" s="81"/>
      <c r="L129" s="10">
        <f t="shared" si="47"/>
        <v>0</v>
      </c>
      <c r="M129" s="10">
        <f t="shared" si="48"/>
        <v>0</v>
      </c>
      <c r="N129" s="10">
        <f t="shared" si="49"/>
        <v>0</v>
      </c>
      <c r="O129" s="10">
        <f t="shared" si="50"/>
        <v>0</v>
      </c>
      <c r="P129" s="10">
        <f t="shared" si="51"/>
        <v>0</v>
      </c>
      <c r="Q129" s="86">
        <v>1</v>
      </c>
      <c r="R129" s="87">
        <v>800</v>
      </c>
      <c r="S129" s="10">
        <f t="shared" si="37"/>
        <v>7.5298438934802564E-3</v>
      </c>
      <c r="T129" s="10">
        <f t="shared" si="38"/>
        <v>0.1849403122130395</v>
      </c>
      <c r="U129" s="10">
        <f t="shared" si="39"/>
        <v>3.228650137741047</v>
      </c>
      <c r="V129" s="10">
        <f t="shared" si="52"/>
        <v>2.2589531680440768E-4</v>
      </c>
      <c r="W129" s="10">
        <f t="shared" si="53"/>
        <v>1.109641873278237E-2</v>
      </c>
    </row>
    <row r="130" spans="1:23">
      <c r="A130" s="83" t="s">
        <v>58</v>
      </c>
      <c r="B130" s="9">
        <v>0.3</v>
      </c>
      <c r="C130" s="86">
        <v>1</v>
      </c>
      <c r="D130" s="87">
        <v>800</v>
      </c>
      <c r="E130" s="10">
        <f t="shared" ref="E130:E146" si="54">(D130/43560)*1.62</f>
        <v>2.9752066115702479E-2</v>
      </c>
      <c r="F130" s="10">
        <f t="shared" ref="F130:F146" si="55">(D130/43560)*16.86</f>
        <v>0.30964187327823689</v>
      </c>
      <c r="G130" s="10">
        <f t="shared" ref="G130:G146" si="56">(D130/43560)*1171.32</f>
        <v>21.511845730027545</v>
      </c>
      <c r="H130" s="10">
        <f t="shared" ref="H130:H146" si="57">E130*0.52</f>
        <v>1.5471074380165289E-2</v>
      </c>
      <c r="I130" s="10">
        <f t="shared" si="46"/>
        <v>0.1393388429752066</v>
      </c>
      <c r="J130" s="80"/>
      <c r="K130" s="81"/>
      <c r="L130" s="10">
        <f t="shared" ref="L130:L146" si="58">(K130/43560)*1.62</f>
        <v>0</v>
      </c>
      <c r="M130" s="10">
        <f t="shared" ref="M130:M146" si="59">(K130/43560)*16.86</f>
        <v>0</v>
      </c>
      <c r="N130" s="10">
        <f t="shared" ref="N130:N146" si="60">(K130/43560)*1171.32</f>
        <v>0</v>
      </c>
      <c r="O130" s="10">
        <f t="shared" ref="O130:O146" si="61">L130*0.33</f>
        <v>0</v>
      </c>
      <c r="P130" s="10">
        <f t="shared" ref="P130:P146" si="62">M130*0.28</f>
        <v>0</v>
      </c>
      <c r="Q130" s="86">
        <v>1</v>
      </c>
      <c r="R130" s="87">
        <v>375</v>
      </c>
      <c r="S130" s="10">
        <f t="shared" ref="S130:S146" si="63">(R130/43560)*0.41</f>
        <v>3.5296143250688706E-3</v>
      </c>
      <c r="T130" s="10">
        <f t="shared" ref="T130:T146" si="64">(R130/43560)*10.07</f>
        <v>8.6690771349862264E-2</v>
      </c>
      <c r="U130" s="10">
        <f t="shared" ref="U130:U146" si="65">(R130/43560)*175.8</f>
        <v>1.5134297520661157</v>
      </c>
      <c r="V130" s="10">
        <f t="shared" ref="V130:V146" si="66">S130*0.03</f>
        <v>1.0588842975206611E-4</v>
      </c>
      <c r="W130" s="10">
        <f t="shared" ref="W130:W146" si="67">T130*0.06</f>
        <v>5.2014462809917353E-3</v>
      </c>
    </row>
    <row r="131" spans="1:23">
      <c r="A131" s="93" t="s">
        <v>103</v>
      </c>
      <c r="B131" s="9">
        <v>0.4</v>
      </c>
      <c r="C131" s="86">
        <v>1</v>
      </c>
      <c r="D131" s="87">
        <v>3770</v>
      </c>
      <c r="E131" s="10">
        <f t="shared" si="54"/>
        <v>0.14020661157024794</v>
      </c>
      <c r="F131" s="10">
        <f t="shared" si="55"/>
        <v>1.4591873278236915</v>
      </c>
      <c r="G131" s="10">
        <f t="shared" si="56"/>
        <v>101.37457300275481</v>
      </c>
      <c r="H131" s="10">
        <f t="shared" si="57"/>
        <v>7.2907438016528936E-2</v>
      </c>
      <c r="I131" s="10">
        <f t="shared" si="46"/>
        <v>0.65663429752066116</v>
      </c>
      <c r="J131" s="80"/>
      <c r="K131" s="81"/>
      <c r="L131" s="10">
        <f t="shared" si="58"/>
        <v>0</v>
      </c>
      <c r="M131" s="10">
        <f t="shared" si="59"/>
        <v>0</v>
      </c>
      <c r="N131" s="10">
        <f t="shared" si="60"/>
        <v>0</v>
      </c>
      <c r="O131" s="10">
        <f t="shared" si="61"/>
        <v>0</v>
      </c>
      <c r="P131" s="10">
        <f t="shared" si="62"/>
        <v>0</v>
      </c>
      <c r="Q131" s="86">
        <v>1</v>
      </c>
      <c r="R131" s="87">
        <v>11600</v>
      </c>
      <c r="S131" s="10">
        <f t="shared" si="63"/>
        <v>0.10918273645546371</v>
      </c>
      <c r="T131" s="10">
        <f t="shared" si="64"/>
        <v>2.6816345270890727</v>
      </c>
      <c r="U131" s="10">
        <f t="shared" si="65"/>
        <v>46.815426997245183</v>
      </c>
      <c r="V131" s="10">
        <f t="shared" si="66"/>
        <v>3.2754820936639114E-3</v>
      </c>
      <c r="W131" s="10">
        <f t="shared" si="67"/>
        <v>0.16089807162534436</v>
      </c>
    </row>
    <row r="132" spans="1:23">
      <c r="A132" s="83" t="s">
        <v>18</v>
      </c>
      <c r="B132" s="9">
        <v>0.2</v>
      </c>
      <c r="C132" s="86">
        <v>1</v>
      </c>
      <c r="D132" s="88">
        <v>1500</v>
      </c>
      <c r="E132" s="10">
        <f t="shared" si="54"/>
        <v>5.5785123966942157E-2</v>
      </c>
      <c r="F132" s="10">
        <f t="shared" si="55"/>
        <v>0.58057851239669422</v>
      </c>
      <c r="G132" s="10">
        <f t="shared" si="56"/>
        <v>40.334710743801651</v>
      </c>
      <c r="H132" s="10">
        <f t="shared" si="57"/>
        <v>2.9008264462809921E-2</v>
      </c>
      <c r="I132" s="10">
        <f t="shared" si="46"/>
        <v>0.26126033057851239</v>
      </c>
      <c r="J132" s="80"/>
      <c r="K132" s="82"/>
      <c r="L132" s="10">
        <f t="shared" si="58"/>
        <v>0</v>
      </c>
      <c r="M132" s="10">
        <f t="shared" si="59"/>
        <v>0</v>
      </c>
      <c r="N132" s="10">
        <f t="shared" si="60"/>
        <v>0</v>
      </c>
      <c r="O132" s="10">
        <f t="shared" si="61"/>
        <v>0</v>
      </c>
      <c r="P132" s="10">
        <f t="shared" si="62"/>
        <v>0</v>
      </c>
      <c r="Q132" s="86">
        <v>1</v>
      </c>
      <c r="R132" s="88">
        <v>17913</v>
      </c>
      <c r="S132" s="10">
        <f t="shared" si="63"/>
        <v>0.1686026170798898</v>
      </c>
      <c r="T132" s="10">
        <f t="shared" si="64"/>
        <v>4.1410447658402205</v>
      </c>
      <c r="U132" s="10">
        <f t="shared" si="65"/>
        <v>72.293512396694226</v>
      </c>
      <c r="V132" s="10">
        <f t="shared" si="66"/>
        <v>5.0580785123966942E-3</v>
      </c>
      <c r="W132" s="10">
        <f t="shared" si="67"/>
        <v>0.24846268595041321</v>
      </c>
    </row>
    <row r="133" spans="1:23">
      <c r="A133" s="83" t="s">
        <v>17</v>
      </c>
      <c r="B133" s="9">
        <v>0.3</v>
      </c>
      <c r="C133" s="86">
        <v>1</v>
      </c>
      <c r="D133" s="88">
        <v>800</v>
      </c>
      <c r="E133" s="10">
        <f t="shared" si="54"/>
        <v>2.9752066115702479E-2</v>
      </c>
      <c r="F133" s="10">
        <f t="shared" si="55"/>
        <v>0.30964187327823689</v>
      </c>
      <c r="G133" s="10">
        <f t="shared" si="56"/>
        <v>21.511845730027545</v>
      </c>
      <c r="H133" s="10">
        <f t="shared" si="57"/>
        <v>1.5471074380165289E-2</v>
      </c>
      <c r="I133" s="10">
        <f t="shared" si="46"/>
        <v>0.1393388429752066</v>
      </c>
      <c r="J133" s="80"/>
      <c r="K133" s="82"/>
      <c r="L133" s="10">
        <f t="shared" si="58"/>
        <v>0</v>
      </c>
      <c r="M133" s="10">
        <f t="shared" si="59"/>
        <v>0</v>
      </c>
      <c r="N133" s="10">
        <f t="shared" si="60"/>
        <v>0</v>
      </c>
      <c r="O133" s="10">
        <f t="shared" si="61"/>
        <v>0</v>
      </c>
      <c r="P133" s="10">
        <f t="shared" si="62"/>
        <v>0</v>
      </c>
      <c r="Q133" s="86">
        <v>1</v>
      </c>
      <c r="R133" s="88">
        <v>11830</v>
      </c>
      <c r="S133" s="10">
        <f t="shared" si="63"/>
        <v>0.11134756657483928</v>
      </c>
      <c r="T133" s="10">
        <f t="shared" si="64"/>
        <v>2.7348048668503213</v>
      </c>
      <c r="U133" s="10">
        <f t="shared" si="65"/>
        <v>47.743663911845729</v>
      </c>
      <c r="V133" s="10">
        <f t="shared" si="66"/>
        <v>3.3404269972451784E-3</v>
      </c>
      <c r="W133" s="10">
        <f t="shared" si="67"/>
        <v>0.16408829201101927</v>
      </c>
    </row>
    <row r="134" spans="1:23">
      <c r="A134" s="83" t="s">
        <v>16</v>
      </c>
      <c r="B134" s="9">
        <v>0.4</v>
      </c>
      <c r="C134" s="86">
        <v>1</v>
      </c>
      <c r="D134" s="88">
        <v>700</v>
      </c>
      <c r="E134" s="10">
        <f t="shared" si="54"/>
        <v>2.6033057851239674E-2</v>
      </c>
      <c r="F134" s="10">
        <f t="shared" si="55"/>
        <v>0.27093663911845733</v>
      </c>
      <c r="G134" s="10">
        <f t="shared" si="56"/>
        <v>18.822865013774106</v>
      </c>
      <c r="H134" s="10">
        <f t="shared" si="57"/>
        <v>1.3537190082644632E-2</v>
      </c>
      <c r="I134" s="10">
        <f t="shared" si="46"/>
        <v>0.1219214876033058</v>
      </c>
      <c r="J134" s="80"/>
      <c r="K134" s="82"/>
      <c r="L134" s="10">
        <f t="shared" si="58"/>
        <v>0</v>
      </c>
      <c r="M134" s="10">
        <f t="shared" si="59"/>
        <v>0</v>
      </c>
      <c r="N134" s="10">
        <f t="shared" si="60"/>
        <v>0</v>
      </c>
      <c r="O134" s="10">
        <f t="shared" si="61"/>
        <v>0</v>
      </c>
      <c r="P134" s="10">
        <f t="shared" si="62"/>
        <v>0</v>
      </c>
      <c r="Q134" s="86">
        <v>1</v>
      </c>
      <c r="R134" s="88">
        <v>12325</v>
      </c>
      <c r="S134" s="10">
        <f t="shared" si="63"/>
        <v>0.11600665748393021</v>
      </c>
      <c r="T134" s="10">
        <f t="shared" si="64"/>
        <v>2.8492366850321398</v>
      </c>
      <c r="U134" s="10">
        <f t="shared" si="65"/>
        <v>49.741391184573011</v>
      </c>
      <c r="V134" s="10">
        <f t="shared" si="66"/>
        <v>3.4801997245179064E-3</v>
      </c>
      <c r="W134" s="10">
        <f t="shared" si="67"/>
        <v>0.17095420110192838</v>
      </c>
    </row>
    <row r="135" spans="1:23">
      <c r="A135" s="83" t="s">
        <v>15</v>
      </c>
      <c r="B135" s="9">
        <v>0.4</v>
      </c>
      <c r="C135" s="86">
        <v>1</v>
      </c>
      <c r="D135" s="88">
        <v>1092</v>
      </c>
      <c r="E135" s="10">
        <f t="shared" si="54"/>
        <v>4.0611570247933888E-2</v>
      </c>
      <c r="F135" s="10">
        <f t="shared" si="55"/>
        <v>0.42266115702479334</v>
      </c>
      <c r="G135" s="10">
        <f t="shared" si="56"/>
        <v>29.3636694214876</v>
      </c>
      <c r="H135" s="10">
        <f t="shared" si="57"/>
        <v>2.1118016528925622E-2</v>
      </c>
      <c r="I135" s="10">
        <f t="shared" si="46"/>
        <v>0.190197520661157</v>
      </c>
      <c r="J135" s="80"/>
      <c r="K135" s="82"/>
      <c r="L135" s="10">
        <f t="shared" si="58"/>
        <v>0</v>
      </c>
      <c r="M135" s="10">
        <f t="shared" si="59"/>
        <v>0</v>
      </c>
      <c r="N135" s="10">
        <f t="shared" si="60"/>
        <v>0</v>
      </c>
      <c r="O135" s="10">
        <f t="shared" si="61"/>
        <v>0</v>
      </c>
      <c r="P135" s="10">
        <f t="shared" si="62"/>
        <v>0</v>
      </c>
      <c r="Q135" s="86">
        <v>1</v>
      </c>
      <c r="R135" s="88">
        <v>14719</v>
      </c>
      <c r="S135" s="10">
        <f t="shared" si="63"/>
        <v>0.13853971533516987</v>
      </c>
      <c r="T135" s="10">
        <f t="shared" si="64"/>
        <v>3.4026705693296599</v>
      </c>
      <c r="U135" s="10">
        <f t="shared" si="65"/>
        <v>59.403126721763087</v>
      </c>
      <c r="V135" s="10">
        <f t="shared" si="66"/>
        <v>4.1561914600550956E-3</v>
      </c>
      <c r="W135" s="10">
        <f t="shared" si="67"/>
        <v>0.2041602341597796</v>
      </c>
    </row>
    <row r="136" spans="1:23">
      <c r="A136" s="83" t="s">
        <v>85</v>
      </c>
      <c r="B136" s="9">
        <v>0.5</v>
      </c>
      <c r="C136" s="86">
        <v>1</v>
      </c>
      <c r="D136" s="87">
        <v>1726</v>
      </c>
      <c r="E136" s="10">
        <f t="shared" si="54"/>
        <v>6.419008264462811E-2</v>
      </c>
      <c r="F136" s="10">
        <f t="shared" si="55"/>
        <v>0.66805234159779614</v>
      </c>
      <c r="G136" s="10">
        <f t="shared" si="56"/>
        <v>46.411807162534437</v>
      </c>
      <c r="H136" s="10">
        <f t="shared" si="57"/>
        <v>3.3378842975206616E-2</v>
      </c>
      <c r="I136" s="10">
        <f t="shared" si="46"/>
        <v>0.30062355371900829</v>
      </c>
      <c r="J136" s="80"/>
      <c r="K136" s="81"/>
      <c r="L136" s="10">
        <f t="shared" si="58"/>
        <v>0</v>
      </c>
      <c r="M136" s="10">
        <f t="shared" si="59"/>
        <v>0</v>
      </c>
      <c r="N136" s="10">
        <f t="shared" si="60"/>
        <v>0</v>
      </c>
      <c r="O136" s="10">
        <f t="shared" si="61"/>
        <v>0</v>
      </c>
      <c r="P136" s="10">
        <f t="shared" si="62"/>
        <v>0</v>
      </c>
      <c r="Q136" s="86">
        <v>1</v>
      </c>
      <c r="R136" s="87">
        <v>12244</v>
      </c>
      <c r="S136" s="10">
        <f t="shared" si="63"/>
        <v>0.11524426078971534</v>
      </c>
      <c r="T136" s="10">
        <f t="shared" si="64"/>
        <v>2.8305114784205698</v>
      </c>
      <c r="U136" s="10">
        <f t="shared" si="65"/>
        <v>49.414490358126727</v>
      </c>
      <c r="V136" s="10">
        <f t="shared" si="66"/>
        <v>3.4573278236914601E-3</v>
      </c>
      <c r="W136" s="10">
        <f t="shared" si="67"/>
        <v>0.16983068870523418</v>
      </c>
    </row>
    <row r="137" spans="1:23">
      <c r="A137" s="83" t="s">
        <v>105</v>
      </c>
      <c r="B137" s="9">
        <v>0.4</v>
      </c>
      <c r="C137" s="86">
        <v>1</v>
      </c>
      <c r="D137" s="87">
        <v>786</v>
      </c>
      <c r="E137" s="10">
        <f t="shared" si="54"/>
        <v>2.9231404958677688E-2</v>
      </c>
      <c r="F137" s="10">
        <f t="shared" si="55"/>
        <v>0.30422314049586774</v>
      </c>
      <c r="G137" s="10">
        <f t="shared" si="56"/>
        <v>21.135388429752066</v>
      </c>
      <c r="H137" s="10">
        <f t="shared" si="57"/>
        <v>1.5200330578512399E-2</v>
      </c>
      <c r="I137" s="10">
        <f t="shared" si="46"/>
        <v>0.13690041322314048</v>
      </c>
      <c r="J137" s="80"/>
      <c r="K137" s="81"/>
      <c r="L137" s="10">
        <f t="shared" si="58"/>
        <v>0</v>
      </c>
      <c r="M137" s="10">
        <f t="shared" si="59"/>
        <v>0</v>
      </c>
      <c r="N137" s="10">
        <f t="shared" si="60"/>
        <v>0</v>
      </c>
      <c r="O137" s="10">
        <f t="shared" si="61"/>
        <v>0</v>
      </c>
      <c r="P137" s="10">
        <f t="shared" si="62"/>
        <v>0</v>
      </c>
      <c r="Q137" s="86">
        <v>1</v>
      </c>
      <c r="R137" s="87">
        <v>1491</v>
      </c>
      <c r="S137" s="10">
        <f t="shared" si="63"/>
        <v>1.4033746556473829E-2</v>
      </c>
      <c r="T137" s="10">
        <f t="shared" si="64"/>
        <v>0.34468250688705238</v>
      </c>
      <c r="U137" s="10">
        <f t="shared" si="65"/>
        <v>6.0173966942148764</v>
      </c>
      <c r="V137" s="10">
        <f t="shared" si="66"/>
        <v>4.2101239669421482E-4</v>
      </c>
      <c r="W137" s="10">
        <f t="shared" si="67"/>
        <v>2.0680950413223143E-2</v>
      </c>
    </row>
    <row r="138" spans="1:23">
      <c r="A138" s="83" t="s">
        <v>133</v>
      </c>
      <c r="B138" s="9">
        <v>0.4</v>
      </c>
      <c r="C138" s="86">
        <v>1</v>
      </c>
      <c r="D138" s="87">
        <v>760</v>
      </c>
      <c r="E138" s="10">
        <f t="shared" si="54"/>
        <v>2.8264462809917359E-2</v>
      </c>
      <c r="F138" s="10">
        <f t="shared" si="55"/>
        <v>0.2941597796143251</v>
      </c>
      <c r="G138" s="10">
        <f t="shared" si="56"/>
        <v>20.436253443526173</v>
      </c>
      <c r="H138" s="10">
        <f t="shared" si="57"/>
        <v>1.4697520661157027E-2</v>
      </c>
      <c r="I138" s="10">
        <f t="shared" si="46"/>
        <v>0.13237190082644629</v>
      </c>
      <c r="J138" s="80"/>
      <c r="K138" s="81"/>
      <c r="L138" s="10">
        <f t="shared" si="58"/>
        <v>0</v>
      </c>
      <c r="M138" s="10">
        <f t="shared" si="59"/>
        <v>0</v>
      </c>
      <c r="N138" s="10">
        <f t="shared" si="60"/>
        <v>0</v>
      </c>
      <c r="O138" s="10">
        <f t="shared" si="61"/>
        <v>0</v>
      </c>
      <c r="P138" s="10">
        <f t="shared" si="62"/>
        <v>0</v>
      </c>
      <c r="Q138" s="86">
        <v>1</v>
      </c>
      <c r="R138" s="87">
        <v>1391</v>
      </c>
      <c r="S138" s="10">
        <f t="shared" si="63"/>
        <v>1.3092516069788796E-2</v>
      </c>
      <c r="T138" s="10">
        <f t="shared" si="64"/>
        <v>0.32156496786042243</v>
      </c>
      <c r="U138" s="10">
        <f t="shared" si="65"/>
        <v>5.6138154269972462</v>
      </c>
      <c r="V138" s="10">
        <f t="shared" si="66"/>
        <v>3.9277548209366386E-4</v>
      </c>
      <c r="W138" s="10">
        <f t="shared" si="67"/>
        <v>1.9293898071625345E-2</v>
      </c>
    </row>
    <row r="139" spans="1:23">
      <c r="A139" s="83" t="s">
        <v>106</v>
      </c>
      <c r="B139" s="9">
        <v>0.4</v>
      </c>
      <c r="C139" s="86"/>
      <c r="D139" s="87"/>
      <c r="E139" s="10">
        <f t="shared" si="54"/>
        <v>0</v>
      </c>
      <c r="F139" s="10">
        <f t="shared" si="55"/>
        <v>0</v>
      </c>
      <c r="G139" s="10">
        <f t="shared" si="56"/>
        <v>0</v>
      </c>
      <c r="H139" s="10">
        <f t="shared" si="57"/>
        <v>0</v>
      </c>
      <c r="I139" s="10">
        <f t="shared" si="46"/>
        <v>0</v>
      </c>
      <c r="J139" s="80"/>
      <c r="K139" s="81"/>
      <c r="L139" s="10">
        <f t="shared" si="58"/>
        <v>0</v>
      </c>
      <c r="M139" s="10">
        <f t="shared" si="59"/>
        <v>0</v>
      </c>
      <c r="N139" s="10">
        <f t="shared" si="60"/>
        <v>0</v>
      </c>
      <c r="O139" s="10">
        <f t="shared" si="61"/>
        <v>0</v>
      </c>
      <c r="P139" s="10">
        <f t="shared" si="62"/>
        <v>0</v>
      </c>
      <c r="Q139" s="86"/>
      <c r="R139" s="87"/>
      <c r="S139" s="10">
        <f t="shared" si="63"/>
        <v>0</v>
      </c>
      <c r="T139" s="10">
        <f t="shared" si="64"/>
        <v>0</v>
      </c>
      <c r="U139" s="10">
        <f t="shared" si="65"/>
        <v>0</v>
      </c>
      <c r="V139" s="10">
        <f t="shared" si="66"/>
        <v>0</v>
      </c>
      <c r="W139" s="10">
        <f t="shared" si="67"/>
        <v>0</v>
      </c>
    </row>
    <row r="140" spans="1:23">
      <c r="A140" s="83" t="s">
        <v>87</v>
      </c>
      <c r="B140" s="9">
        <v>0.5</v>
      </c>
      <c r="C140" s="86">
        <v>1</v>
      </c>
      <c r="D140" s="87">
        <v>1350</v>
      </c>
      <c r="E140" s="10">
        <f t="shared" si="54"/>
        <v>5.0206611570247937E-2</v>
      </c>
      <c r="F140" s="10">
        <f t="shared" si="55"/>
        <v>0.52252066115702478</v>
      </c>
      <c r="G140" s="10">
        <f t="shared" si="56"/>
        <v>36.301239669421484</v>
      </c>
      <c r="H140" s="10">
        <f t="shared" si="57"/>
        <v>2.6107438016528928E-2</v>
      </c>
      <c r="I140" s="10">
        <f t="shared" si="46"/>
        <v>0.23513429752066115</v>
      </c>
      <c r="J140" s="80">
        <v>1</v>
      </c>
      <c r="K140" s="81">
        <v>350</v>
      </c>
      <c r="L140" s="10">
        <f t="shared" si="58"/>
        <v>1.3016528925619837E-2</v>
      </c>
      <c r="M140" s="10">
        <f t="shared" si="59"/>
        <v>0.13546831955922867</v>
      </c>
      <c r="N140" s="10">
        <f t="shared" si="60"/>
        <v>9.4114325068870528</v>
      </c>
      <c r="O140" s="10">
        <f t="shared" si="61"/>
        <v>4.2954545454545467E-3</v>
      </c>
      <c r="P140" s="10">
        <f t="shared" si="62"/>
        <v>3.793112947658403E-2</v>
      </c>
      <c r="Q140" s="86">
        <v>1</v>
      </c>
      <c r="R140" s="87">
        <v>7656</v>
      </c>
      <c r="S140" s="10">
        <f t="shared" si="63"/>
        <v>7.2060606060606047E-2</v>
      </c>
      <c r="T140" s="10">
        <f t="shared" si="64"/>
        <v>1.7698787878787878</v>
      </c>
      <c r="U140" s="10">
        <f t="shared" si="65"/>
        <v>30.898181818181818</v>
      </c>
      <c r="V140" s="10">
        <f t="shared" si="66"/>
        <v>2.1618181818181814E-3</v>
      </c>
      <c r="W140" s="10">
        <f t="shared" si="67"/>
        <v>0.10619272727272727</v>
      </c>
    </row>
    <row r="141" spans="1:23">
      <c r="A141" s="83" t="s">
        <v>12</v>
      </c>
      <c r="B141" s="9">
        <v>0.3</v>
      </c>
      <c r="C141" s="86"/>
      <c r="D141" s="88"/>
      <c r="E141" s="10">
        <f t="shared" si="54"/>
        <v>0</v>
      </c>
      <c r="F141" s="10">
        <f t="shared" si="55"/>
        <v>0</v>
      </c>
      <c r="G141" s="10">
        <f t="shared" si="56"/>
        <v>0</v>
      </c>
      <c r="H141" s="10">
        <f t="shared" si="57"/>
        <v>0</v>
      </c>
      <c r="I141" s="10">
        <f t="shared" si="46"/>
        <v>0</v>
      </c>
      <c r="J141" s="80"/>
      <c r="K141" s="82"/>
      <c r="L141" s="10">
        <f t="shared" si="58"/>
        <v>0</v>
      </c>
      <c r="M141" s="10">
        <f t="shared" si="59"/>
        <v>0</v>
      </c>
      <c r="N141" s="10">
        <f t="shared" si="60"/>
        <v>0</v>
      </c>
      <c r="O141" s="10">
        <f t="shared" si="61"/>
        <v>0</v>
      </c>
      <c r="P141" s="10">
        <f t="shared" si="62"/>
        <v>0</v>
      </c>
      <c r="Q141" s="86">
        <v>1</v>
      </c>
      <c r="R141" s="88">
        <v>7306.7</v>
      </c>
      <c r="S141" s="10">
        <f t="shared" si="63"/>
        <v>6.8772887970615246E-2</v>
      </c>
      <c r="T141" s="10">
        <f t="shared" si="64"/>
        <v>1.6891292240587696</v>
      </c>
      <c r="U141" s="10">
        <f t="shared" si="65"/>
        <v>29.488472451790635</v>
      </c>
      <c r="V141" s="10">
        <f t="shared" si="66"/>
        <v>2.0631866391184572E-3</v>
      </c>
      <c r="W141" s="10">
        <f t="shared" si="67"/>
        <v>0.10134775344352617</v>
      </c>
    </row>
    <row r="142" spans="1:23">
      <c r="A142" s="83" t="s">
        <v>163</v>
      </c>
      <c r="B142" s="9">
        <v>0.4</v>
      </c>
      <c r="C142" s="86">
        <v>1</v>
      </c>
      <c r="D142" s="88">
        <v>2931</v>
      </c>
      <c r="E142" s="10">
        <f t="shared" si="54"/>
        <v>0.10900413223140495</v>
      </c>
      <c r="F142" s="10">
        <f t="shared" si="55"/>
        <v>1.1344504132231403</v>
      </c>
      <c r="G142" s="10">
        <f t="shared" si="56"/>
        <v>78.814024793388413</v>
      </c>
      <c r="H142" s="10">
        <f t="shared" si="57"/>
        <v>5.6682148760330578E-2</v>
      </c>
      <c r="I142" s="10">
        <f t="shared" si="46"/>
        <v>0.51050268595041315</v>
      </c>
      <c r="J142" s="80"/>
      <c r="K142" s="82"/>
      <c r="L142" s="10">
        <f t="shared" si="58"/>
        <v>0</v>
      </c>
      <c r="M142" s="10">
        <f t="shared" si="59"/>
        <v>0</v>
      </c>
      <c r="N142" s="10">
        <f t="shared" si="60"/>
        <v>0</v>
      </c>
      <c r="O142" s="10">
        <f t="shared" si="61"/>
        <v>0</v>
      </c>
      <c r="P142" s="10">
        <f t="shared" si="62"/>
        <v>0</v>
      </c>
      <c r="Q142" s="86">
        <v>1</v>
      </c>
      <c r="R142" s="88">
        <v>141425</v>
      </c>
      <c r="S142" s="10">
        <f t="shared" si="63"/>
        <v>1.3311352157943066</v>
      </c>
      <c r="T142" s="10">
        <f t="shared" si="64"/>
        <v>32.693979568411386</v>
      </c>
      <c r="U142" s="10">
        <f t="shared" si="65"/>
        <v>570.76480716253445</v>
      </c>
      <c r="V142" s="10">
        <f t="shared" si="66"/>
        <v>3.9934056473829194E-2</v>
      </c>
      <c r="W142" s="10">
        <f t="shared" si="67"/>
        <v>1.961638774104683</v>
      </c>
    </row>
    <row r="143" spans="1:23">
      <c r="A143" s="83" t="s">
        <v>13</v>
      </c>
      <c r="B143" s="9">
        <v>0.4</v>
      </c>
      <c r="C143" s="86">
        <v>1</v>
      </c>
      <c r="D143" s="88">
        <v>1350</v>
      </c>
      <c r="E143" s="10">
        <f t="shared" si="54"/>
        <v>5.0206611570247937E-2</v>
      </c>
      <c r="F143" s="10">
        <f t="shared" si="55"/>
        <v>0.52252066115702478</v>
      </c>
      <c r="G143" s="10">
        <f t="shared" si="56"/>
        <v>36.301239669421484</v>
      </c>
      <c r="H143" s="10">
        <f t="shared" si="57"/>
        <v>2.6107438016528928E-2</v>
      </c>
      <c r="I143" s="10">
        <f t="shared" si="46"/>
        <v>0.23513429752066115</v>
      </c>
      <c r="J143" s="80"/>
      <c r="K143" s="82"/>
      <c r="L143" s="10">
        <f t="shared" si="58"/>
        <v>0</v>
      </c>
      <c r="M143" s="10">
        <f t="shared" si="59"/>
        <v>0</v>
      </c>
      <c r="N143" s="10">
        <f t="shared" si="60"/>
        <v>0</v>
      </c>
      <c r="O143" s="10">
        <f t="shared" si="61"/>
        <v>0</v>
      </c>
      <c r="P143" s="10">
        <f t="shared" si="62"/>
        <v>0</v>
      </c>
      <c r="Q143" s="86">
        <v>1</v>
      </c>
      <c r="R143" s="88">
        <v>115730</v>
      </c>
      <c r="S143" s="10">
        <f t="shared" si="63"/>
        <v>1.0892860422405877</v>
      </c>
      <c r="T143" s="10">
        <f t="shared" si="64"/>
        <v>26.753927915518823</v>
      </c>
      <c r="U143" s="10">
        <f t="shared" si="65"/>
        <v>467.0646005509642</v>
      </c>
      <c r="V143" s="10">
        <f t="shared" si="66"/>
        <v>3.2678581267217628E-2</v>
      </c>
      <c r="W143" s="10">
        <f t="shared" si="67"/>
        <v>1.6052356749311294</v>
      </c>
    </row>
    <row r="144" spans="1:23">
      <c r="A144" s="83" t="s">
        <v>3</v>
      </c>
      <c r="B144" s="9">
        <v>0.5</v>
      </c>
      <c r="C144" s="86">
        <v>1</v>
      </c>
      <c r="D144" s="88">
        <v>2150</v>
      </c>
      <c r="E144" s="10">
        <f t="shared" si="54"/>
        <v>7.9958677685950413E-2</v>
      </c>
      <c r="F144" s="10">
        <f t="shared" si="55"/>
        <v>0.83216253443526167</v>
      </c>
      <c r="G144" s="10">
        <f t="shared" si="56"/>
        <v>57.813085399449029</v>
      </c>
      <c r="H144" s="10">
        <f t="shared" si="57"/>
        <v>4.1578512396694217E-2</v>
      </c>
      <c r="I144" s="10">
        <f t="shared" si="46"/>
        <v>0.37447314049586777</v>
      </c>
      <c r="J144" s="80">
        <v>1</v>
      </c>
      <c r="K144" s="82">
        <v>150</v>
      </c>
      <c r="L144" s="10">
        <f t="shared" si="58"/>
        <v>5.5785123966942156E-3</v>
      </c>
      <c r="M144" s="10">
        <f t="shared" si="59"/>
        <v>5.8057851239669424E-2</v>
      </c>
      <c r="N144" s="10">
        <f t="shared" si="60"/>
        <v>4.0334710743801656</v>
      </c>
      <c r="O144" s="10">
        <f t="shared" si="61"/>
        <v>1.8409090909090912E-3</v>
      </c>
      <c r="P144" s="10">
        <f t="shared" si="62"/>
        <v>1.6256198347107439E-2</v>
      </c>
      <c r="Q144" s="86">
        <v>1</v>
      </c>
      <c r="R144" s="88">
        <v>11000</v>
      </c>
      <c r="S144" s="10">
        <f t="shared" si="63"/>
        <v>0.10353535353535354</v>
      </c>
      <c r="T144" s="10">
        <f t="shared" si="64"/>
        <v>2.5429292929292933</v>
      </c>
      <c r="U144" s="10">
        <f t="shared" si="65"/>
        <v>44.393939393939398</v>
      </c>
      <c r="V144" s="10">
        <f t="shared" si="66"/>
        <v>3.1060606060606061E-3</v>
      </c>
      <c r="W144" s="10">
        <f t="shared" si="67"/>
        <v>0.15257575757575759</v>
      </c>
    </row>
    <row r="145" spans="1:23" ht="18" customHeight="1">
      <c r="A145" s="94" t="s">
        <v>113</v>
      </c>
      <c r="B145" s="79">
        <v>0.4</v>
      </c>
      <c r="C145" s="90">
        <v>1</v>
      </c>
      <c r="D145" s="91">
        <v>2135</v>
      </c>
      <c r="E145" s="21">
        <f t="shared" si="54"/>
        <v>7.9400826446280992E-2</v>
      </c>
      <c r="F145" s="21">
        <f t="shared" si="55"/>
        <v>0.82635674931129477</v>
      </c>
      <c r="G145" s="21">
        <f t="shared" si="56"/>
        <v>57.409738292011014</v>
      </c>
      <c r="H145" s="21">
        <f t="shared" si="57"/>
        <v>4.1288429752066119E-2</v>
      </c>
      <c r="I145" s="21">
        <f t="shared" si="46"/>
        <v>0.37186053719008266</v>
      </c>
      <c r="J145" s="84"/>
      <c r="K145" s="85"/>
      <c r="L145" s="21">
        <f t="shared" si="58"/>
        <v>0</v>
      </c>
      <c r="M145" s="21">
        <f t="shared" si="59"/>
        <v>0</v>
      </c>
      <c r="N145" s="21">
        <f t="shared" si="60"/>
        <v>0</v>
      </c>
      <c r="O145" s="21">
        <f t="shared" si="61"/>
        <v>0</v>
      </c>
      <c r="P145" s="21">
        <f t="shared" si="62"/>
        <v>0</v>
      </c>
      <c r="Q145" s="90">
        <v>1</v>
      </c>
      <c r="R145" s="91">
        <v>10000</v>
      </c>
      <c r="S145" s="21">
        <f t="shared" si="63"/>
        <v>9.4123048668503212E-2</v>
      </c>
      <c r="T145" s="21">
        <f t="shared" si="64"/>
        <v>2.3117539026629936</v>
      </c>
      <c r="U145" s="21">
        <f t="shared" si="65"/>
        <v>40.358126721763085</v>
      </c>
      <c r="V145" s="21">
        <f t="shared" si="66"/>
        <v>2.8236914600550962E-3</v>
      </c>
      <c r="W145" s="21">
        <f t="shared" si="67"/>
        <v>0.13870523415977962</v>
      </c>
    </row>
    <row r="146" spans="1:23">
      <c r="A146" s="94" t="s">
        <v>57</v>
      </c>
      <c r="B146" s="79">
        <v>0.3</v>
      </c>
      <c r="C146" s="90">
        <v>1</v>
      </c>
      <c r="D146" s="91">
        <v>1725</v>
      </c>
      <c r="E146" s="21">
        <f t="shared" si="54"/>
        <v>6.4152892561983477E-2</v>
      </c>
      <c r="F146" s="21">
        <f t="shared" si="55"/>
        <v>0.66766528925619828</v>
      </c>
      <c r="G146" s="21">
        <f t="shared" si="56"/>
        <v>46.384917355371897</v>
      </c>
      <c r="H146" s="21">
        <f t="shared" si="57"/>
        <v>3.3359504132231411E-2</v>
      </c>
      <c r="I146" s="21">
        <f t="shared" si="46"/>
        <v>0.30044938016528921</v>
      </c>
      <c r="J146" s="84"/>
      <c r="K146" s="85"/>
      <c r="L146" s="21">
        <f t="shared" si="58"/>
        <v>0</v>
      </c>
      <c r="M146" s="21">
        <f t="shared" si="59"/>
        <v>0</v>
      </c>
      <c r="N146" s="21">
        <f t="shared" si="60"/>
        <v>0</v>
      </c>
      <c r="O146" s="21">
        <f t="shared" si="61"/>
        <v>0</v>
      </c>
      <c r="P146" s="21">
        <f t="shared" si="62"/>
        <v>0</v>
      </c>
      <c r="Q146" s="90"/>
      <c r="R146" s="91"/>
      <c r="S146" s="21">
        <f t="shared" si="63"/>
        <v>0</v>
      </c>
      <c r="T146" s="21">
        <f t="shared" si="64"/>
        <v>0</v>
      </c>
      <c r="U146" s="21">
        <f t="shared" si="65"/>
        <v>0</v>
      </c>
      <c r="V146" s="21">
        <f t="shared" si="66"/>
        <v>0</v>
      </c>
      <c r="W146" s="21">
        <f t="shared" si="67"/>
        <v>0</v>
      </c>
    </row>
    <row r="148" spans="1:23">
      <c r="A148" s="2" t="s">
        <v>200</v>
      </c>
      <c r="C148" s="3">
        <f>SUM(Table2[Roof Drain Disconnection])</f>
        <v>121</v>
      </c>
      <c r="D148" s="3">
        <f>SUM(Table2[Roof Area])</f>
        <v>204026.59999999998</v>
      </c>
      <c r="E148" s="3">
        <f>SUM(Table2[PL TP])</f>
        <v>7.5877661157024789</v>
      </c>
      <c r="F148" s="3">
        <f>SUM(Table2[PL TN])</f>
        <v>78.96897327823693</v>
      </c>
      <c r="G148" s="3">
        <f>SUM(Table2[PL TSS])</f>
        <v>5486.2359300275475</v>
      </c>
      <c r="H148" s="3">
        <f>SUM(Table2[PR TP])</f>
        <v>3.9456383801652906</v>
      </c>
      <c r="I148" s="3">
        <f>SUM(Table2[PR TN])</f>
        <v>35.536037975206625</v>
      </c>
      <c r="J148" s="3">
        <f>SUM(Table2[Rain Barrel/Cistern])</f>
        <v>40</v>
      </c>
      <c r="K148" s="3">
        <f>SUM(Table2[Rain Barrel/Cistern Area])</f>
        <v>27836.799999999999</v>
      </c>
      <c r="L148" s="3">
        <f>SUM(Table2[PL TP5])</f>
        <v>1.0352528925619835</v>
      </c>
      <c r="M148" s="3">
        <f>SUM(Table2[PL TN6])</f>
        <v>10.774298622589534</v>
      </c>
      <c r="N148" s="3">
        <f>SUM(Table2[PL TSS7])</f>
        <v>748.52618402203848</v>
      </c>
      <c r="O148" s="3">
        <f>SUM(Table2[PR TP8])</f>
        <v>0.34163345454545463</v>
      </c>
      <c r="P148" s="3">
        <f>SUM(Table2[PR TN9])</f>
        <v>3.0168036143250698</v>
      </c>
      <c r="Q148" s="3">
        <f>SUM(Table2[Nutrient Mgt])</f>
        <v>126</v>
      </c>
      <c r="R148" s="3">
        <f>SUM(Table2[Nutrient Mgt. Pervious Area])</f>
        <v>3154787.8000000003</v>
      </c>
      <c r="S148" s="3">
        <f>SUM(Table2[PL TP11])</f>
        <v>29.693824563820016</v>
      </c>
      <c r="T148" s="3">
        <f>SUM(Table2[PL TN12])</f>
        <v>729.30930087235993</v>
      </c>
      <c r="U148" s="3">
        <f>SUM(Table2[PL TSS13])</f>
        <v>12732.13258126722</v>
      </c>
      <c r="V148" s="3">
        <f>SUM(Table2[PR TP14])</f>
        <v>0.89081473691460011</v>
      </c>
      <c r="W148" s="3">
        <f>SUM(Table2[PR TN15])</f>
        <v>43.758558052341598</v>
      </c>
    </row>
    <row r="149" spans="1:23">
      <c r="A149" s="2" t="s">
        <v>199</v>
      </c>
      <c r="B149" s="9">
        <f>AVERAGE(B2:B146)</f>
        <v>0.38551724137930987</v>
      </c>
      <c r="D149" s="78">
        <f>D148/121</f>
        <v>1686.1702479338842</v>
      </c>
      <c r="K149" s="78">
        <f>K148/J148</f>
        <v>695.92</v>
      </c>
      <c r="R149" s="78">
        <f>R148/Q148</f>
        <v>25037.998412698416</v>
      </c>
    </row>
  </sheetData>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Nutrient Load Reductions</vt:lpstr>
      <vt:lpstr>Load Reduction Calculations</vt:lpstr>
      <vt:lpstr>Individual Properties 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juncok</dc:creator>
  <cp:lastModifiedBy>Rebecca Stimson</cp:lastModifiedBy>
  <dcterms:created xsi:type="dcterms:W3CDTF">2015-01-26T13:53:46Z</dcterms:created>
  <dcterms:modified xsi:type="dcterms:W3CDTF">2016-09-29T18:33:00Z</dcterms:modified>
</cp:coreProperties>
</file>